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Базжина\Desktop\2017-2019 годы8\2020 ГОД\от 28.05.2020 №6\"/>
    </mc:Choice>
  </mc:AlternateContent>
  <xr:revisionPtr revIDLastSave="0" documentId="13_ncr:1_{2ACF3FF2-FE4C-4DDD-B932-FCE44AFE578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естр" sheetId="7" r:id="rId1"/>
    <sheet name="Перечень" sheetId="3" r:id="rId2"/>
    <sheet name="Рес обесп" sheetId="4" r:id="rId3"/>
    <sheet name="Плановые показатели" sheetId="5" r:id="rId4"/>
    <sheet name="Реестр_бонусы" sheetId="8" r:id="rId5"/>
    <sheet name="Перечень_бонусы" sheetId="9" r:id="rId6"/>
    <sheet name="Планируемые показат_бонусы" sheetId="10" r:id="rId7"/>
  </sheets>
  <definedNames>
    <definedName name="_xlnm._FilterDatabase" localSheetId="1" hidden="1">Перечень!$A$12:$GL$1211</definedName>
    <definedName name="_xlnm._FilterDatabase" localSheetId="5" hidden="1">Перечень_бонусы!$A$10:$Q$195</definedName>
    <definedName name="_xlnm._FilterDatabase" localSheetId="3" hidden="1">'Плановые показатели'!$A$9:$J$194</definedName>
    <definedName name="_xlnm._FilterDatabase" localSheetId="0" hidden="1">Реестр!$A$18:$CH$1217</definedName>
    <definedName name="_xlnm._FilterDatabase" localSheetId="4" hidden="1">Реестр_бонусы!$A$9:$AK$196</definedName>
    <definedName name="_xlnm.Print_Area" localSheetId="1">Перечень!$B$1:$U$1212</definedName>
    <definedName name="_xlnm.Print_Area" localSheetId="0">Реестр!$B$1:$BY$1218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40" i="7" l="1"/>
  <c r="E29" i="10" l="1"/>
  <c r="D29" i="10"/>
  <c r="C29" i="10"/>
  <c r="E9" i="10"/>
  <c r="D9" i="10"/>
  <c r="C9" i="10"/>
  <c r="P196" i="9"/>
  <c r="B196" i="9"/>
  <c r="Q195" i="9"/>
  <c r="P195" i="9"/>
  <c r="L195" i="9"/>
  <c r="K195" i="9"/>
  <c r="J195" i="9"/>
  <c r="I195" i="9"/>
  <c r="P194" i="9"/>
  <c r="B194" i="9"/>
  <c r="P193" i="9"/>
  <c r="B193" i="9"/>
  <c r="Q192" i="9"/>
  <c r="L192" i="9"/>
  <c r="K192" i="9"/>
  <c r="J192" i="9"/>
  <c r="I192" i="9"/>
  <c r="P192" i="9" s="1"/>
  <c r="P191" i="9"/>
  <c r="B191" i="9"/>
  <c r="Q190" i="9"/>
  <c r="L190" i="9"/>
  <c r="K190" i="9"/>
  <c r="J190" i="9"/>
  <c r="I190" i="9"/>
  <c r="P190" i="9" s="1"/>
  <c r="P189" i="9"/>
  <c r="B189" i="9"/>
  <c r="Q188" i="9"/>
  <c r="L188" i="9"/>
  <c r="K188" i="9"/>
  <c r="J188" i="9"/>
  <c r="I188" i="9"/>
  <c r="P188" i="9" s="1"/>
  <c r="P187" i="9"/>
  <c r="B187" i="9"/>
  <c r="Q186" i="9"/>
  <c r="L186" i="9"/>
  <c r="K186" i="9"/>
  <c r="J186" i="9"/>
  <c r="I186" i="9"/>
  <c r="P186" i="9" s="1"/>
  <c r="P185" i="9"/>
  <c r="B185" i="9"/>
  <c r="Q184" i="9"/>
  <c r="L184" i="9"/>
  <c r="K184" i="9"/>
  <c r="J184" i="9"/>
  <c r="I184" i="9"/>
  <c r="P184" i="9" s="1"/>
  <c r="P183" i="9"/>
  <c r="B183" i="9"/>
  <c r="Q182" i="9"/>
  <c r="L182" i="9"/>
  <c r="K182" i="9"/>
  <c r="J182" i="9"/>
  <c r="I182" i="9"/>
  <c r="P182" i="9" s="1"/>
  <c r="P181" i="9"/>
  <c r="B181" i="9"/>
  <c r="Q180" i="9"/>
  <c r="L180" i="9"/>
  <c r="K180" i="9"/>
  <c r="J180" i="9"/>
  <c r="I180" i="9"/>
  <c r="P180" i="9" s="1"/>
  <c r="P179" i="9"/>
  <c r="B179" i="9"/>
  <c r="P178" i="9"/>
  <c r="B178" i="9"/>
  <c r="P177" i="9"/>
  <c r="B177" i="9"/>
  <c r="Q176" i="9"/>
  <c r="L176" i="9"/>
  <c r="K176" i="9"/>
  <c r="J176" i="9"/>
  <c r="I176" i="9"/>
  <c r="P176" i="9" s="1"/>
  <c r="P175" i="9"/>
  <c r="B175" i="9"/>
  <c r="Q174" i="9"/>
  <c r="L174" i="9"/>
  <c r="K174" i="9"/>
  <c r="J174" i="9"/>
  <c r="I174" i="9"/>
  <c r="P174" i="9" s="1"/>
  <c r="P173" i="9"/>
  <c r="B173" i="9"/>
  <c r="Q172" i="9"/>
  <c r="L172" i="9"/>
  <c r="K172" i="9"/>
  <c r="J172" i="9"/>
  <c r="I172" i="9"/>
  <c r="P172" i="9" s="1"/>
  <c r="P171" i="9"/>
  <c r="B171" i="9"/>
  <c r="P170" i="9"/>
  <c r="B170" i="9"/>
  <c r="Q169" i="9"/>
  <c r="L169" i="9"/>
  <c r="K169" i="9"/>
  <c r="J169" i="9"/>
  <c r="I169" i="9"/>
  <c r="P169" i="9" s="1"/>
  <c r="P168" i="9"/>
  <c r="B168" i="9"/>
  <c r="P167" i="9"/>
  <c r="B167" i="9"/>
  <c r="Q166" i="9"/>
  <c r="L166" i="9"/>
  <c r="K166" i="9"/>
  <c r="J166" i="9"/>
  <c r="I166" i="9"/>
  <c r="P166" i="9" s="1"/>
  <c r="P165" i="9"/>
  <c r="B165" i="9"/>
  <c r="Q164" i="9"/>
  <c r="L164" i="9"/>
  <c r="K164" i="9"/>
  <c r="J164" i="9"/>
  <c r="I164" i="9"/>
  <c r="P164" i="9" s="1"/>
  <c r="P163" i="9"/>
  <c r="B163" i="9"/>
  <c r="Q162" i="9"/>
  <c r="L162" i="9"/>
  <c r="K162" i="9"/>
  <c r="J162" i="9"/>
  <c r="I162" i="9"/>
  <c r="P162" i="9" s="1"/>
  <c r="P161" i="9"/>
  <c r="B161" i="9"/>
  <c r="P160" i="9"/>
  <c r="B160" i="9"/>
  <c r="P159" i="9"/>
  <c r="B159" i="9"/>
  <c r="P158" i="9"/>
  <c r="K158" i="9"/>
  <c r="K157" i="9" s="1"/>
  <c r="B158" i="9"/>
  <c r="Q157" i="9"/>
  <c r="L157" i="9"/>
  <c r="J157" i="9"/>
  <c r="I157" i="9"/>
  <c r="P157" i="9" s="1"/>
  <c r="P156" i="9"/>
  <c r="B156" i="9"/>
  <c r="Q155" i="9"/>
  <c r="L155" i="9"/>
  <c r="K155" i="9"/>
  <c r="J155" i="9"/>
  <c r="I155" i="9"/>
  <c r="P155" i="9" s="1"/>
  <c r="P154" i="9"/>
  <c r="B154" i="9"/>
  <c r="Q153" i="9"/>
  <c r="L153" i="9"/>
  <c r="K153" i="9"/>
  <c r="J153" i="9"/>
  <c r="I153" i="9"/>
  <c r="P153" i="9" s="1"/>
  <c r="P152" i="9"/>
  <c r="B152" i="9"/>
  <c r="P151" i="9"/>
  <c r="B151" i="9"/>
  <c r="Q150" i="9"/>
  <c r="L150" i="9"/>
  <c r="K150" i="9"/>
  <c r="J150" i="9"/>
  <c r="I150" i="9"/>
  <c r="P150" i="9" s="1"/>
  <c r="P149" i="9"/>
  <c r="B149" i="9"/>
  <c r="P148" i="9"/>
  <c r="B148" i="9"/>
  <c r="P147" i="9"/>
  <c r="B147" i="9"/>
  <c r="P146" i="9"/>
  <c r="B146" i="9"/>
  <c r="P145" i="9"/>
  <c r="B145" i="9"/>
  <c r="Q144" i="9"/>
  <c r="L144" i="9"/>
  <c r="K144" i="9"/>
  <c r="J144" i="9"/>
  <c r="I144" i="9"/>
  <c r="P144" i="9" s="1"/>
  <c r="P143" i="9"/>
  <c r="B143" i="9"/>
  <c r="P142" i="9"/>
  <c r="B142" i="9"/>
  <c r="P141" i="9"/>
  <c r="B141" i="9"/>
  <c r="P140" i="9"/>
  <c r="B140" i="9"/>
  <c r="P139" i="9"/>
  <c r="B139" i="9"/>
  <c r="P138" i="9"/>
  <c r="B138" i="9"/>
  <c r="P137" i="9"/>
  <c r="B137" i="9"/>
  <c r="P136" i="9"/>
  <c r="B136" i="9"/>
  <c r="P135" i="9"/>
  <c r="B135" i="9"/>
  <c r="P134" i="9"/>
  <c r="B134" i="9"/>
  <c r="P133" i="9"/>
  <c r="B133" i="9"/>
  <c r="P132" i="9"/>
  <c r="B132" i="9"/>
  <c r="P131" i="9"/>
  <c r="B131" i="9"/>
  <c r="Q130" i="9"/>
  <c r="L130" i="9"/>
  <c r="K130" i="9"/>
  <c r="J130" i="9"/>
  <c r="I130" i="9"/>
  <c r="P130" i="9" s="1"/>
  <c r="P129" i="9"/>
  <c r="B129" i="9"/>
  <c r="P128" i="9"/>
  <c r="B128" i="9"/>
  <c r="P127" i="9"/>
  <c r="B127" i="9"/>
  <c r="P126" i="9"/>
  <c r="B126" i="9"/>
  <c r="P125" i="9"/>
  <c r="B125" i="9"/>
  <c r="P124" i="9"/>
  <c r="B124" i="9"/>
  <c r="P123" i="9"/>
  <c r="B123" i="9"/>
  <c r="P122" i="9"/>
  <c r="B122" i="9"/>
  <c r="P121" i="9"/>
  <c r="B121" i="9"/>
  <c r="P120" i="9"/>
  <c r="B120" i="9"/>
  <c r="P119" i="9"/>
  <c r="B119" i="9"/>
  <c r="P118" i="9"/>
  <c r="B118" i="9"/>
  <c r="P117" i="9"/>
  <c r="B117" i="9"/>
  <c r="P116" i="9"/>
  <c r="B116" i="9"/>
  <c r="P115" i="9"/>
  <c r="B115" i="9"/>
  <c r="P114" i="9"/>
  <c r="K114" i="9"/>
  <c r="B114" i="9"/>
  <c r="P113" i="9"/>
  <c r="B113" i="9"/>
  <c r="P112" i="9"/>
  <c r="B112" i="9"/>
  <c r="P111" i="9"/>
  <c r="B111" i="9"/>
  <c r="P110" i="9"/>
  <c r="B110" i="9"/>
  <c r="P109" i="9"/>
  <c r="B109" i="9"/>
  <c r="P108" i="9"/>
  <c r="B108" i="9"/>
  <c r="P107" i="9"/>
  <c r="B107" i="9"/>
  <c r="P106" i="9"/>
  <c r="B106" i="9"/>
  <c r="P105" i="9"/>
  <c r="B105" i="9"/>
  <c r="P104" i="9"/>
  <c r="B104" i="9"/>
  <c r="Q103" i="9"/>
  <c r="L103" i="9"/>
  <c r="K103" i="9"/>
  <c r="J103" i="9"/>
  <c r="I103" i="9"/>
  <c r="P103" i="9" s="1"/>
  <c r="P102" i="9"/>
  <c r="B102" i="9"/>
  <c r="P101" i="9"/>
  <c r="B101" i="9"/>
  <c r="P100" i="9"/>
  <c r="B100" i="9"/>
  <c r="P99" i="9"/>
  <c r="B99" i="9"/>
  <c r="Q98" i="9"/>
  <c r="L98" i="9"/>
  <c r="K98" i="9"/>
  <c r="J98" i="9"/>
  <c r="I98" i="9"/>
  <c r="P98" i="9" s="1"/>
  <c r="P97" i="9"/>
  <c r="B97" i="9"/>
  <c r="P96" i="9"/>
  <c r="B96" i="9"/>
  <c r="P95" i="9"/>
  <c r="B95" i="9"/>
  <c r="P94" i="9"/>
  <c r="B94" i="9"/>
  <c r="P93" i="9"/>
  <c r="B93" i="9"/>
  <c r="P92" i="9"/>
  <c r="B92" i="9"/>
  <c r="Q91" i="9"/>
  <c r="L91" i="9"/>
  <c r="K91" i="9"/>
  <c r="J91" i="9"/>
  <c r="I91" i="9"/>
  <c r="P91" i="9" s="1"/>
  <c r="P90" i="9"/>
  <c r="B90" i="9"/>
  <c r="P89" i="9"/>
  <c r="B89" i="9"/>
  <c r="P88" i="9"/>
  <c r="B88" i="9"/>
  <c r="P87" i="9"/>
  <c r="B87" i="9"/>
  <c r="P86" i="9"/>
  <c r="B86" i="9"/>
  <c r="P85" i="9"/>
  <c r="B85" i="9"/>
  <c r="P84" i="9"/>
  <c r="B84" i="9"/>
  <c r="P83" i="9"/>
  <c r="B83" i="9"/>
  <c r="P82" i="9"/>
  <c r="B82" i="9"/>
  <c r="P81" i="9"/>
  <c r="B81" i="9"/>
  <c r="P80" i="9"/>
  <c r="B80" i="9"/>
  <c r="P79" i="9"/>
  <c r="B79" i="9"/>
  <c r="P78" i="9"/>
  <c r="B78" i="9"/>
  <c r="P77" i="9"/>
  <c r="B77" i="9"/>
  <c r="P76" i="9"/>
  <c r="B76" i="9"/>
  <c r="P75" i="9"/>
  <c r="B75" i="9"/>
  <c r="Q74" i="9"/>
  <c r="L74" i="9"/>
  <c r="K74" i="9"/>
  <c r="J74" i="9"/>
  <c r="I74" i="9"/>
  <c r="P74" i="9" s="1"/>
  <c r="P73" i="9"/>
  <c r="B73" i="9"/>
  <c r="P72" i="9"/>
  <c r="B72" i="9"/>
  <c r="Q71" i="9"/>
  <c r="L71" i="9"/>
  <c r="K71" i="9"/>
  <c r="J71" i="9"/>
  <c r="I71" i="9"/>
  <c r="P71" i="9" s="1"/>
  <c r="P70" i="9"/>
  <c r="B70" i="9"/>
  <c r="P69" i="9"/>
  <c r="B69" i="9"/>
  <c r="P68" i="9"/>
  <c r="B68" i="9"/>
  <c r="P67" i="9"/>
  <c r="B67" i="9"/>
  <c r="P66" i="9"/>
  <c r="B66" i="9"/>
  <c r="P65" i="9"/>
  <c r="B65" i="9"/>
  <c r="Q64" i="9"/>
  <c r="L64" i="9"/>
  <c r="K64" i="9"/>
  <c r="J64" i="9"/>
  <c r="I64" i="9"/>
  <c r="P61" i="9"/>
  <c r="B61" i="9"/>
  <c r="Q60" i="9"/>
  <c r="L60" i="9"/>
  <c r="K60" i="9"/>
  <c r="J60" i="9"/>
  <c r="I60" i="9"/>
  <c r="P60" i="9" s="1"/>
  <c r="P59" i="9"/>
  <c r="B59" i="9"/>
  <c r="Q58" i="9"/>
  <c r="L58" i="9"/>
  <c r="K58" i="9"/>
  <c r="J58" i="9"/>
  <c r="J10" i="9" s="1"/>
  <c r="I58" i="9"/>
  <c r="P58" i="9" s="1"/>
  <c r="P57" i="9"/>
  <c r="K57" i="9"/>
  <c r="B57" i="9"/>
  <c r="Q56" i="9"/>
  <c r="L56" i="9"/>
  <c r="K56" i="9"/>
  <c r="J56" i="9"/>
  <c r="I56" i="9"/>
  <c r="P56" i="9" s="1"/>
  <c r="P55" i="9"/>
  <c r="B55" i="9"/>
  <c r="P54" i="9"/>
  <c r="K54" i="9"/>
  <c r="K52" i="9" s="1"/>
  <c r="B54" i="9"/>
  <c r="P53" i="9"/>
  <c r="B53" i="9"/>
  <c r="Q52" i="9"/>
  <c r="L52" i="9"/>
  <c r="J52" i="9"/>
  <c r="I52" i="9"/>
  <c r="P52" i="9" s="1"/>
  <c r="P51" i="9"/>
  <c r="K51" i="9"/>
  <c r="K50" i="9" s="1"/>
  <c r="B51" i="9"/>
  <c r="Q50" i="9"/>
  <c r="L50" i="9"/>
  <c r="J50" i="9"/>
  <c r="I50" i="9"/>
  <c r="P50" i="9" s="1"/>
  <c r="P49" i="9"/>
  <c r="K49" i="9"/>
  <c r="K48" i="9" s="1"/>
  <c r="B49" i="9"/>
  <c r="Q48" i="9"/>
  <c r="L48" i="9"/>
  <c r="J48" i="9"/>
  <c r="I48" i="9"/>
  <c r="P48" i="9" s="1"/>
  <c r="P47" i="9"/>
  <c r="K47" i="9"/>
  <c r="B47" i="9"/>
  <c r="Q46" i="9"/>
  <c r="L46" i="9"/>
  <c r="K46" i="9"/>
  <c r="J46" i="9"/>
  <c r="I46" i="9"/>
  <c r="P46" i="9" s="1"/>
  <c r="P45" i="9"/>
  <c r="K45" i="9"/>
  <c r="B45" i="9"/>
  <c r="P44" i="9"/>
  <c r="K44" i="9"/>
  <c r="B44" i="9"/>
  <c r="P43" i="9"/>
  <c r="K43" i="9"/>
  <c r="B43" i="9"/>
  <c r="Q42" i="9"/>
  <c r="L42" i="9"/>
  <c r="J42" i="9"/>
  <c r="I42" i="9"/>
  <c r="P42" i="9" s="1"/>
  <c r="P41" i="9"/>
  <c r="K41" i="9"/>
  <c r="B41" i="9"/>
  <c r="Q40" i="9"/>
  <c r="L40" i="9"/>
  <c r="K40" i="9"/>
  <c r="J40" i="9"/>
  <c r="I40" i="9"/>
  <c r="P40" i="9" s="1"/>
  <c r="P39" i="9"/>
  <c r="K39" i="9"/>
  <c r="B39" i="9"/>
  <c r="Q38" i="9"/>
  <c r="L38" i="9"/>
  <c r="K38" i="9"/>
  <c r="J38" i="9"/>
  <c r="I38" i="9"/>
  <c r="P38" i="9" s="1"/>
  <c r="P37" i="9"/>
  <c r="K37" i="9"/>
  <c r="B37" i="9"/>
  <c r="P36" i="9"/>
  <c r="K36" i="9"/>
  <c r="B36" i="9"/>
  <c r="P35" i="9"/>
  <c r="K35" i="9"/>
  <c r="B35" i="9"/>
  <c r="Q34" i="9"/>
  <c r="L34" i="9"/>
  <c r="J34" i="9"/>
  <c r="I34" i="9"/>
  <c r="P34" i="9" s="1"/>
  <c r="P33" i="9"/>
  <c r="B33" i="9"/>
  <c r="P32" i="9"/>
  <c r="K32" i="9"/>
  <c r="B32" i="9"/>
  <c r="Q31" i="9"/>
  <c r="L31" i="9"/>
  <c r="K31" i="9"/>
  <c r="J31" i="9"/>
  <c r="I31" i="9"/>
  <c r="P31" i="9" s="1"/>
  <c r="P30" i="9"/>
  <c r="K30" i="9"/>
  <c r="B30" i="9"/>
  <c r="P29" i="9"/>
  <c r="K29" i="9"/>
  <c r="B29" i="9"/>
  <c r="Q28" i="9"/>
  <c r="L28" i="9"/>
  <c r="K28" i="9"/>
  <c r="J28" i="9"/>
  <c r="I28" i="9"/>
  <c r="P28" i="9" s="1"/>
  <c r="P27" i="9"/>
  <c r="K27" i="9"/>
  <c r="B27" i="9"/>
  <c r="Q26" i="9"/>
  <c r="L26" i="9"/>
  <c r="K26" i="9"/>
  <c r="J26" i="9"/>
  <c r="I26" i="9"/>
  <c r="P26" i="9" s="1"/>
  <c r="P25" i="9"/>
  <c r="K25" i="9"/>
  <c r="B25" i="9"/>
  <c r="Q24" i="9"/>
  <c r="L24" i="9"/>
  <c r="K24" i="9"/>
  <c r="J24" i="9"/>
  <c r="I24" i="9"/>
  <c r="P24" i="9" s="1"/>
  <c r="P23" i="9"/>
  <c r="K23" i="9"/>
  <c r="K22" i="9" s="1"/>
  <c r="B23" i="9"/>
  <c r="Q22" i="9"/>
  <c r="Q10" i="9" s="1"/>
  <c r="L22" i="9"/>
  <c r="J22" i="9"/>
  <c r="I22" i="9"/>
  <c r="P22" i="9" s="1"/>
  <c r="P21" i="9"/>
  <c r="B21" i="9"/>
  <c r="P20" i="9"/>
  <c r="B20" i="9"/>
  <c r="P19" i="9"/>
  <c r="B19" i="9"/>
  <c r="P18" i="9"/>
  <c r="K18" i="9"/>
  <c r="B18" i="9"/>
  <c r="P17" i="9"/>
  <c r="K17" i="9"/>
  <c r="K13" i="9" s="1"/>
  <c r="B17" i="9"/>
  <c r="P16" i="9"/>
  <c r="K16" i="9"/>
  <c r="B16" i="9"/>
  <c r="P15" i="9"/>
  <c r="K15" i="9"/>
  <c r="B15" i="9"/>
  <c r="P14" i="9"/>
  <c r="K14" i="9"/>
  <c r="B14" i="9"/>
  <c r="Q13" i="9"/>
  <c r="L13" i="9"/>
  <c r="J13" i="9"/>
  <c r="I13" i="9"/>
  <c r="P13" i="9" s="1"/>
  <c r="P12" i="9"/>
  <c r="K12" i="9"/>
  <c r="K11" i="9" s="1"/>
  <c r="B12" i="9"/>
  <c r="Q11" i="9"/>
  <c r="L11" i="9"/>
  <c r="L10" i="9" s="1"/>
  <c r="J11" i="9"/>
  <c r="I11" i="9"/>
  <c r="AE197" i="8"/>
  <c r="F197" i="8"/>
  <c r="B197" i="8"/>
  <c r="AG196" i="8"/>
  <c r="AF196" i="8"/>
  <c r="AE196" i="8"/>
  <c r="AD196" i="8"/>
  <c r="AC196" i="8"/>
  <c r="AB196" i="8"/>
  <c r="AA196" i="8"/>
  <c r="Z196" i="8"/>
  <c r="Y196" i="8"/>
  <c r="X196" i="8"/>
  <c r="W196" i="8"/>
  <c r="V196" i="8"/>
  <c r="U196" i="8"/>
  <c r="T196" i="8"/>
  <c r="S196" i="8"/>
  <c r="R196" i="8"/>
  <c r="Q196" i="8"/>
  <c r="P196" i="8"/>
  <c r="O196" i="8"/>
  <c r="N196" i="8"/>
  <c r="M196" i="8"/>
  <c r="L196" i="8"/>
  <c r="K196" i="8"/>
  <c r="J196" i="8"/>
  <c r="I196" i="8"/>
  <c r="H196" i="8"/>
  <c r="G196" i="8"/>
  <c r="F196" i="8"/>
  <c r="E196" i="8"/>
  <c r="AE195" i="8"/>
  <c r="F195" i="8" s="1"/>
  <c r="B195" i="8"/>
  <c r="AE194" i="8"/>
  <c r="F194" i="8" s="1"/>
  <c r="F193" i="8" s="1"/>
  <c r="B194" i="8"/>
  <c r="AG193" i="8"/>
  <c r="AF193" i="8"/>
  <c r="AE193" i="8"/>
  <c r="AD193" i="8"/>
  <c r="AC193" i="8"/>
  <c r="AB193" i="8"/>
  <c r="AA193" i="8"/>
  <c r="Z193" i="8"/>
  <c r="Y193" i="8"/>
  <c r="X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K193" i="8"/>
  <c r="J193" i="8"/>
  <c r="I193" i="8"/>
  <c r="H193" i="8"/>
  <c r="G193" i="8"/>
  <c r="E193" i="8"/>
  <c r="AE192" i="8"/>
  <c r="F192" i="8"/>
  <c r="F191" i="8" s="1"/>
  <c r="B192" i="8"/>
  <c r="AG191" i="8"/>
  <c r="AF191" i="8"/>
  <c r="AE191" i="8"/>
  <c r="AD191" i="8"/>
  <c r="AC191" i="8"/>
  <c r="AB191" i="8"/>
  <c r="AA191" i="8"/>
  <c r="Z191" i="8"/>
  <c r="Y191" i="8"/>
  <c r="X191" i="8"/>
  <c r="W191" i="8"/>
  <c r="V191" i="8"/>
  <c r="U191" i="8"/>
  <c r="T191" i="8"/>
  <c r="S191" i="8"/>
  <c r="R191" i="8"/>
  <c r="Q191" i="8"/>
  <c r="P191" i="8"/>
  <c r="O191" i="8"/>
  <c r="N191" i="8"/>
  <c r="M191" i="8"/>
  <c r="L191" i="8"/>
  <c r="K191" i="8"/>
  <c r="J191" i="8"/>
  <c r="I191" i="8"/>
  <c r="H191" i="8"/>
  <c r="G191" i="8"/>
  <c r="E191" i="8"/>
  <c r="AE190" i="8"/>
  <c r="F190" i="8" s="1"/>
  <c r="F189" i="8" s="1"/>
  <c r="B190" i="8"/>
  <c r="AG189" i="8"/>
  <c r="AF189" i="8"/>
  <c r="AD189" i="8"/>
  <c r="AC189" i="8"/>
  <c r="AB189" i="8"/>
  <c r="AA189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K189" i="8"/>
  <c r="J189" i="8"/>
  <c r="I189" i="8"/>
  <c r="H189" i="8"/>
  <c r="G189" i="8"/>
  <c r="E189" i="8"/>
  <c r="AE188" i="8"/>
  <c r="F188" i="8"/>
  <c r="F187" i="8" s="1"/>
  <c r="B188" i="8"/>
  <c r="AG187" i="8"/>
  <c r="AF187" i="8"/>
  <c r="AE187" i="8"/>
  <c r="AD187" i="8"/>
  <c r="AC187" i="8"/>
  <c r="AB187" i="8"/>
  <c r="AA187" i="8"/>
  <c r="Z187" i="8"/>
  <c r="Y187" i="8"/>
  <c r="X187" i="8"/>
  <c r="W187" i="8"/>
  <c r="V187" i="8"/>
  <c r="U187" i="8"/>
  <c r="T187" i="8"/>
  <c r="S187" i="8"/>
  <c r="R187" i="8"/>
  <c r="Q187" i="8"/>
  <c r="P187" i="8"/>
  <c r="O187" i="8"/>
  <c r="N187" i="8"/>
  <c r="M187" i="8"/>
  <c r="L187" i="8"/>
  <c r="K187" i="8"/>
  <c r="J187" i="8"/>
  <c r="I187" i="8"/>
  <c r="H187" i="8"/>
  <c r="G187" i="8"/>
  <c r="E187" i="8"/>
  <c r="AE186" i="8"/>
  <c r="F186" i="8"/>
  <c r="F185" i="8" s="1"/>
  <c r="B186" i="8"/>
  <c r="AG185" i="8"/>
  <c r="AF185" i="8"/>
  <c r="AE185" i="8"/>
  <c r="AD185" i="8"/>
  <c r="AC185" i="8"/>
  <c r="AB185" i="8"/>
  <c r="AA185" i="8"/>
  <c r="Z185" i="8"/>
  <c r="Y185" i="8"/>
  <c r="X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K185" i="8"/>
  <c r="J185" i="8"/>
  <c r="I185" i="8"/>
  <c r="H185" i="8"/>
  <c r="G185" i="8"/>
  <c r="E185" i="8"/>
  <c r="AE184" i="8"/>
  <c r="F184" i="8"/>
  <c r="F183" i="8" s="1"/>
  <c r="B184" i="8"/>
  <c r="AG183" i="8"/>
  <c r="AF183" i="8"/>
  <c r="AE183" i="8"/>
  <c r="AD183" i="8"/>
  <c r="AC183" i="8"/>
  <c r="AB183" i="8"/>
  <c r="AA183" i="8"/>
  <c r="Z183" i="8"/>
  <c r="Y183" i="8"/>
  <c r="X183" i="8"/>
  <c r="W183" i="8"/>
  <c r="V183" i="8"/>
  <c r="U183" i="8"/>
  <c r="T183" i="8"/>
  <c r="S183" i="8"/>
  <c r="R183" i="8"/>
  <c r="Q183" i="8"/>
  <c r="P183" i="8"/>
  <c r="O183" i="8"/>
  <c r="N183" i="8"/>
  <c r="M183" i="8"/>
  <c r="L183" i="8"/>
  <c r="K183" i="8"/>
  <c r="J183" i="8"/>
  <c r="I183" i="8"/>
  <c r="H183" i="8"/>
  <c r="G183" i="8"/>
  <c r="E183" i="8"/>
  <c r="AE182" i="8"/>
  <c r="F182" i="8" s="1"/>
  <c r="F181" i="8" s="1"/>
  <c r="B182" i="8"/>
  <c r="AG181" i="8"/>
  <c r="AF181" i="8"/>
  <c r="AD181" i="8"/>
  <c r="AC181" i="8"/>
  <c r="AB181" i="8"/>
  <c r="AA181" i="8"/>
  <c r="Z181" i="8"/>
  <c r="Y181" i="8"/>
  <c r="X181" i="8"/>
  <c r="W181" i="8"/>
  <c r="V181" i="8"/>
  <c r="U181" i="8"/>
  <c r="T181" i="8"/>
  <c r="S181" i="8"/>
  <c r="R181" i="8"/>
  <c r="Q181" i="8"/>
  <c r="P181" i="8"/>
  <c r="O181" i="8"/>
  <c r="N181" i="8"/>
  <c r="M181" i="8"/>
  <c r="L181" i="8"/>
  <c r="K181" i="8"/>
  <c r="J181" i="8"/>
  <c r="I181" i="8"/>
  <c r="H181" i="8"/>
  <c r="G181" i="8"/>
  <c r="E181" i="8"/>
  <c r="AE180" i="8"/>
  <c r="F180" i="8"/>
  <c r="B180" i="8"/>
  <c r="AE179" i="8"/>
  <c r="F179" i="8"/>
  <c r="B179" i="8"/>
  <c r="AE178" i="8"/>
  <c r="F178" i="8" s="1"/>
  <c r="B178" i="8"/>
  <c r="AG177" i="8"/>
  <c r="AF177" i="8"/>
  <c r="AD177" i="8"/>
  <c r="AC177" i="8"/>
  <c r="AB177" i="8"/>
  <c r="AA177" i="8"/>
  <c r="Z177" i="8"/>
  <c r="Y177" i="8"/>
  <c r="X177" i="8"/>
  <c r="W177" i="8"/>
  <c r="V177" i="8"/>
  <c r="U177" i="8"/>
  <c r="T177" i="8"/>
  <c r="S177" i="8"/>
  <c r="R177" i="8"/>
  <c r="Q177" i="8"/>
  <c r="P177" i="8"/>
  <c r="O177" i="8"/>
  <c r="N177" i="8"/>
  <c r="M177" i="8"/>
  <c r="L177" i="8"/>
  <c r="K177" i="8"/>
  <c r="J177" i="8"/>
  <c r="I177" i="8"/>
  <c r="H177" i="8"/>
  <c r="G177" i="8"/>
  <c r="E177" i="8"/>
  <c r="AE176" i="8"/>
  <c r="F176" i="8" s="1"/>
  <c r="F175" i="8" s="1"/>
  <c r="B176" i="8"/>
  <c r="AG175" i="8"/>
  <c r="AF175" i="8"/>
  <c r="AD175" i="8"/>
  <c r="AC175" i="8"/>
  <c r="AB175" i="8"/>
  <c r="AA175" i="8"/>
  <c r="Z175" i="8"/>
  <c r="Y175" i="8"/>
  <c r="X175" i="8"/>
  <c r="W175" i="8"/>
  <c r="V175" i="8"/>
  <c r="U175" i="8"/>
  <c r="T175" i="8"/>
  <c r="S175" i="8"/>
  <c r="R175" i="8"/>
  <c r="Q175" i="8"/>
  <c r="P175" i="8"/>
  <c r="O175" i="8"/>
  <c r="N175" i="8"/>
  <c r="M175" i="8"/>
  <c r="L175" i="8"/>
  <c r="K175" i="8"/>
  <c r="J175" i="8"/>
  <c r="I175" i="8"/>
  <c r="H175" i="8"/>
  <c r="G175" i="8"/>
  <c r="E175" i="8"/>
  <c r="AE174" i="8"/>
  <c r="F174" i="8" s="1"/>
  <c r="F173" i="8" s="1"/>
  <c r="B174" i="8"/>
  <c r="AG173" i="8"/>
  <c r="AF173" i="8"/>
  <c r="AD173" i="8"/>
  <c r="AC173" i="8"/>
  <c r="AB173" i="8"/>
  <c r="AA173" i="8"/>
  <c r="Z173" i="8"/>
  <c r="Y173" i="8"/>
  <c r="X173" i="8"/>
  <c r="W173" i="8"/>
  <c r="V173" i="8"/>
  <c r="U173" i="8"/>
  <c r="T173" i="8"/>
  <c r="S173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E173" i="8"/>
  <c r="AE172" i="8"/>
  <c r="F172" i="8" s="1"/>
  <c r="B172" i="8"/>
  <c r="AE171" i="8"/>
  <c r="F171" i="8" s="1"/>
  <c r="B171" i="8"/>
  <c r="AG170" i="8"/>
  <c r="AF170" i="8"/>
  <c r="AD170" i="8"/>
  <c r="AC170" i="8"/>
  <c r="AB170" i="8"/>
  <c r="AA170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K170" i="8"/>
  <c r="J170" i="8"/>
  <c r="I170" i="8"/>
  <c r="H170" i="8"/>
  <c r="G170" i="8"/>
  <c r="E170" i="8"/>
  <c r="AE169" i="8"/>
  <c r="F169" i="8" s="1"/>
  <c r="B169" i="8"/>
  <c r="AE168" i="8"/>
  <c r="B168" i="8"/>
  <c r="AG167" i="8"/>
  <c r="AF167" i="8"/>
  <c r="AD167" i="8"/>
  <c r="AC167" i="8"/>
  <c r="AB167" i="8"/>
  <c r="AA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E167" i="8"/>
  <c r="AE166" i="8"/>
  <c r="B166" i="8"/>
  <c r="AG165" i="8"/>
  <c r="AF165" i="8"/>
  <c r="AD165" i="8"/>
  <c r="AC165" i="8"/>
  <c r="AB165" i="8"/>
  <c r="AA165" i="8"/>
  <c r="Z165" i="8"/>
  <c r="Y165" i="8"/>
  <c r="X165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E165" i="8"/>
  <c r="F164" i="8"/>
  <c r="F163" i="8" s="1"/>
  <c r="B164" i="8"/>
  <c r="AG163" i="8"/>
  <c r="AF163" i="8"/>
  <c r="AE163" i="8"/>
  <c r="AD163" i="8"/>
  <c r="AC163" i="8"/>
  <c r="AB163" i="8"/>
  <c r="AA163" i="8"/>
  <c r="Z163" i="8"/>
  <c r="Y163" i="8"/>
  <c r="X163" i="8"/>
  <c r="W163" i="8"/>
  <c r="V163" i="8"/>
  <c r="U163" i="8"/>
  <c r="T163" i="8"/>
  <c r="S163" i="8"/>
  <c r="R163" i="8"/>
  <c r="Q163" i="8"/>
  <c r="P163" i="8"/>
  <c r="O163" i="8"/>
  <c r="N163" i="8"/>
  <c r="M163" i="8"/>
  <c r="L163" i="8"/>
  <c r="K163" i="8"/>
  <c r="J163" i="8"/>
  <c r="I163" i="8"/>
  <c r="H163" i="8"/>
  <c r="G163" i="8"/>
  <c r="E163" i="8"/>
  <c r="AE162" i="8"/>
  <c r="F162" i="8"/>
  <c r="B162" i="8"/>
  <c r="AE161" i="8"/>
  <c r="F161" i="8" s="1"/>
  <c r="B161" i="8"/>
  <c r="AE160" i="8"/>
  <c r="F160" i="8" s="1"/>
  <c r="B160" i="8"/>
  <c r="AE159" i="8"/>
  <c r="F159" i="8"/>
  <c r="B159" i="8"/>
  <c r="AG158" i="8"/>
  <c r="AF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E158" i="8"/>
  <c r="AE157" i="8"/>
  <c r="F157" i="8"/>
  <c r="F156" i="8" s="1"/>
  <c r="B157" i="8"/>
  <c r="AG156" i="8"/>
  <c r="AF156" i="8"/>
  <c r="AE156" i="8"/>
  <c r="AD156" i="8"/>
  <c r="AC156" i="8"/>
  <c r="AB156" i="8"/>
  <c r="AA156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E156" i="8"/>
  <c r="AE155" i="8"/>
  <c r="F155" i="8"/>
  <c r="F154" i="8" s="1"/>
  <c r="B155" i="8"/>
  <c r="AG154" i="8"/>
  <c r="AF154" i="8"/>
  <c r="AE154" i="8"/>
  <c r="AD154" i="8"/>
  <c r="AC154" i="8"/>
  <c r="AB154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E154" i="8"/>
  <c r="AE153" i="8"/>
  <c r="F153" i="8" s="1"/>
  <c r="B153" i="8"/>
  <c r="AE152" i="8"/>
  <c r="F152" i="8" s="1"/>
  <c r="B152" i="8"/>
  <c r="AG151" i="8"/>
  <c r="AF151" i="8"/>
  <c r="AD151" i="8"/>
  <c r="AC151" i="8"/>
  <c r="AB151" i="8"/>
  <c r="AA151" i="8"/>
  <c r="Z151" i="8"/>
  <c r="Y151" i="8"/>
  <c r="X151" i="8"/>
  <c r="W151" i="8"/>
  <c r="V151" i="8"/>
  <c r="U151" i="8"/>
  <c r="T151" i="8"/>
  <c r="S151" i="8"/>
  <c r="R151" i="8"/>
  <c r="Q151" i="8"/>
  <c r="P151" i="8"/>
  <c r="O151" i="8"/>
  <c r="N151" i="8"/>
  <c r="M151" i="8"/>
  <c r="L151" i="8"/>
  <c r="K151" i="8"/>
  <c r="J151" i="8"/>
  <c r="I151" i="8"/>
  <c r="H151" i="8"/>
  <c r="G151" i="8"/>
  <c r="E151" i="8"/>
  <c r="AE150" i="8"/>
  <c r="F150" i="8" s="1"/>
  <c r="B150" i="8"/>
  <c r="AE149" i="8"/>
  <c r="F149" i="8"/>
  <c r="B149" i="8"/>
  <c r="AE148" i="8"/>
  <c r="F148" i="8"/>
  <c r="B148" i="8"/>
  <c r="AE147" i="8"/>
  <c r="F147" i="8" s="1"/>
  <c r="B147" i="8"/>
  <c r="AE146" i="8"/>
  <c r="B146" i="8"/>
  <c r="AG145" i="8"/>
  <c r="AF145" i="8"/>
  <c r="AD145" i="8"/>
  <c r="AC145" i="8"/>
  <c r="AB145" i="8"/>
  <c r="AA145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E145" i="8"/>
  <c r="AE144" i="8"/>
  <c r="F144" i="8"/>
  <c r="B144" i="8"/>
  <c r="AE143" i="8"/>
  <c r="F143" i="8"/>
  <c r="B143" i="8"/>
  <c r="AE142" i="8"/>
  <c r="F142" i="8" s="1"/>
  <c r="B142" i="8"/>
  <c r="AE141" i="8"/>
  <c r="F141" i="8" s="1"/>
  <c r="B141" i="8"/>
  <c r="AE140" i="8"/>
  <c r="F140" i="8"/>
  <c r="B140" i="8"/>
  <c r="AE139" i="8"/>
  <c r="F139" i="8" s="1"/>
  <c r="B139" i="8"/>
  <c r="AE138" i="8"/>
  <c r="F138" i="8" s="1"/>
  <c r="B138" i="8"/>
  <c r="AE137" i="8"/>
  <c r="F137" i="8" s="1"/>
  <c r="B137" i="8"/>
  <c r="AE136" i="8"/>
  <c r="F136" i="8"/>
  <c r="B136" i="8"/>
  <c r="AE135" i="8"/>
  <c r="F135" i="8"/>
  <c r="B135" i="8"/>
  <c r="AE134" i="8"/>
  <c r="F134" i="8" s="1"/>
  <c r="B134" i="8"/>
  <c r="AE133" i="8"/>
  <c r="F133" i="8" s="1"/>
  <c r="B133" i="8"/>
  <c r="AE132" i="8"/>
  <c r="F132" i="8"/>
  <c r="B132" i="8"/>
  <c r="AG131" i="8"/>
  <c r="AF131" i="8"/>
  <c r="AD131" i="8"/>
  <c r="AC131" i="8"/>
  <c r="AB131" i="8"/>
  <c r="AA131" i="8"/>
  <c r="Z131" i="8"/>
  <c r="Y131" i="8"/>
  <c r="X131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E131" i="8"/>
  <c r="AE130" i="8"/>
  <c r="F130" i="8"/>
  <c r="B130" i="8"/>
  <c r="AE129" i="8"/>
  <c r="F129" i="8"/>
  <c r="B129" i="8"/>
  <c r="AE128" i="8"/>
  <c r="F128" i="8" s="1"/>
  <c r="B128" i="8"/>
  <c r="AE127" i="8"/>
  <c r="F127" i="8" s="1"/>
  <c r="B127" i="8"/>
  <c r="AE126" i="8"/>
  <c r="F126" i="8"/>
  <c r="B126" i="8"/>
  <c r="AE125" i="8"/>
  <c r="F125" i="8" s="1"/>
  <c r="B125" i="8"/>
  <c r="AE124" i="8"/>
  <c r="F124" i="8" s="1"/>
  <c r="B124" i="8"/>
  <c r="AE123" i="8"/>
  <c r="F123" i="8" s="1"/>
  <c r="B123" i="8"/>
  <c r="AE122" i="8"/>
  <c r="F122" i="8"/>
  <c r="B122" i="8"/>
  <c r="AE121" i="8"/>
  <c r="F121" i="8"/>
  <c r="B121" i="8"/>
  <c r="AE120" i="8"/>
  <c r="F120" i="8" s="1"/>
  <c r="B120" i="8"/>
  <c r="AE119" i="8"/>
  <c r="F119" i="8" s="1"/>
  <c r="B119" i="8"/>
  <c r="AE118" i="8"/>
  <c r="F118" i="8"/>
  <c r="B118" i="8"/>
  <c r="AE117" i="8"/>
  <c r="F117" i="8" s="1"/>
  <c r="B117" i="8"/>
  <c r="AE116" i="8"/>
  <c r="F116" i="8" s="1"/>
  <c r="B116" i="8"/>
  <c r="AE115" i="8"/>
  <c r="F115" i="8" s="1"/>
  <c r="B115" i="8"/>
  <c r="AE114" i="8"/>
  <c r="F114" i="8"/>
  <c r="B114" i="8"/>
  <c r="AE113" i="8"/>
  <c r="F113" i="8"/>
  <c r="B113" i="8"/>
  <c r="AE112" i="8"/>
  <c r="F112" i="8" s="1"/>
  <c r="B112" i="8"/>
  <c r="AE111" i="8"/>
  <c r="F111" i="8" s="1"/>
  <c r="B111" i="8"/>
  <c r="AE110" i="8"/>
  <c r="F110" i="8"/>
  <c r="B110" i="8"/>
  <c r="AE109" i="8"/>
  <c r="F109" i="8" s="1"/>
  <c r="B109" i="8"/>
  <c r="AE108" i="8"/>
  <c r="F108" i="8" s="1"/>
  <c r="B108" i="8"/>
  <c r="AE107" i="8"/>
  <c r="B107" i="8"/>
  <c r="AE106" i="8"/>
  <c r="F106" i="8"/>
  <c r="B106" i="8"/>
  <c r="AE105" i="8"/>
  <c r="F105" i="8"/>
  <c r="B105" i="8"/>
  <c r="AG104" i="8"/>
  <c r="AF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E104" i="8"/>
  <c r="AE103" i="8"/>
  <c r="F103" i="8" s="1"/>
  <c r="B103" i="8"/>
  <c r="AE102" i="8"/>
  <c r="F102" i="8" s="1"/>
  <c r="B102" i="8"/>
  <c r="AE101" i="8"/>
  <c r="F101" i="8" s="1"/>
  <c r="B101" i="8"/>
  <c r="AE100" i="8"/>
  <c r="F100" i="8"/>
  <c r="B100" i="8"/>
  <c r="AG99" i="8"/>
  <c r="AF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J64" i="8" s="1"/>
  <c r="I99" i="8"/>
  <c r="H99" i="8"/>
  <c r="G99" i="8"/>
  <c r="E99" i="8"/>
  <c r="AE98" i="8"/>
  <c r="F98" i="8"/>
  <c r="B98" i="8"/>
  <c r="AE97" i="8"/>
  <c r="F97" i="8" s="1"/>
  <c r="B97" i="8"/>
  <c r="AE96" i="8"/>
  <c r="F96" i="8" s="1"/>
  <c r="B96" i="8"/>
  <c r="AE95" i="8"/>
  <c r="B95" i="8"/>
  <c r="AE94" i="8"/>
  <c r="F94" i="8"/>
  <c r="B94" i="8"/>
  <c r="AE93" i="8"/>
  <c r="F93" i="8"/>
  <c r="B93" i="8"/>
  <c r="AG92" i="8"/>
  <c r="AF92" i="8"/>
  <c r="AD92" i="8"/>
  <c r="AC92" i="8"/>
  <c r="AB92" i="8"/>
  <c r="AA92" i="8"/>
  <c r="Z92" i="8"/>
  <c r="Y92" i="8"/>
  <c r="X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E92" i="8"/>
  <c r="AE91" i="8"/>
  <c r="F91" i="8" s="1"/>
  <c r="B91" i="8"/>
  <c r="AE90" i="8"/>
  <c r="F90" i="8" s="1"/>
  <c r="B90" i="8"/>
  <c r="AE89" i="8"/>
  <c r="F89" i="8" s="1"/>
  <c r="B89" i="8"/>
  <c r="AE88" i="8"/>
  <c r="F88" i="8"/>
  <c r="B88" i="8"/>
  <c r="AE87" i="8"/>
  <c r="F87" i="8"/>
  <c r="B87" i="8"/>
  <c r="AE86" i="8"/>
  <c r="F86" i="8" s="1"/>
  <c r="B86" i="8"/>
  <c r="AE85" i="8"/>
  <c r="F85" i="8" s="1"/>
  <c r="B85" i="8"/>
  <c r="AE84" i="8"/>
  <c r="F84" i="8"/>
  <c r="B84" i="8"/>
  <c r="AE83" i="8"/>
  <c r="F83" i="8" s="1"/>
  <c r="B83" i="8"/>
  <c r="AE82" i="8"/>
  <c r="F82" i="8" s="1"/>
  <c r="B82" i="8"/>
  <c r="AE81" i="8"/>
  <c r="F81" i="8" s="1"/>
  <c r="B81" i="8"/>
  <c r="AE80" i="8"/>
  <c r="F80" i="8"/>
  <c r="B80" i="8"/>
  <c r="AE79" i="8"/>
  <c r="F79" i="8" s="1"/>
  <c r="B79" i="8"/>
  <c r="AE78" i="8"/>
  <c r="F78" i="8" s="1"/>
  <c r="B78" i="8"/>
  <c r="AE77" i="8"/>
  <c r="F77" i="8"/>
  <c r="B77" i="8"/>
  <c r="AE76" i="8"/>
  <c r="F76" i="8"/>
  <c r="B76" i="8"/>
  <c r="AG75" i="8"/>
  <c r="AF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E75" i="8"/>
  <c r="AE74" i="8"/>
  <c r="F74" i="8" s="1"/>
  <c r="B74" i="8"/>
  <c r="AE73" i="8"/>
  <c r="F73" i="8"/>
  <c r="B73" i="8"/>
  <c r="AG72" i="8"/>
  <c r="AF72" i="8"/>
  <c r="AD72" i="8"/>
  <c r="AC72" i="8"/>
  <c r="AB72" i="8"/>
  <c r="AA72" i="8"/>
  <c r="Z72" i="8"/>
  <c r="Y72" i="8"/>
  <c r="X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E72" i="8"/>
  <c r="AE71" i="8"/>
  <c r="F71" i="8"/>
  <c r="B71" i="8"/>
  <c r="AE70" i="8"/>
  <c r="F70" i="8"/>
  <c r="B70" i="8"/>
  <c r="AE69" i="8"/>
  <c r="F69" i="8" s="1"/>
  <c r="B69" i="8"/>
  <c r="AE68" i="8"/>
  <c r="B68" i="8"/>
  <c r="AE67" i="8"/>
  <c r="F67" i="8"/>
  <c r="B67" i="8"/>
  <c r="AE66" i="8"/>
  <c r="F66" i="8" s="1"/>
  <c r="B66" i="8"/>
  <c r="AG65" i="8"/>
  <c r="AF65" i="8"/>
  <c r="AD65" i="8"/>
  <c r="AC65" i="8"/>
  <c r="AB65" i="8"/>
  <c r="AA65" i="8"/>
  <c r="Z65" i="8"/>
  <c r="Y65" i="8"/>
  <c r="X65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E65" i="8"/>
  <c r="AE62" i="8"/>
  <c r="F62" i="8"/>
  <c r="F61" i="8" s="1"/>
  <c r="B62" i="8"/>
  <c r="AG61" i="8"/>
  <c r="AF61" i="8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E61" i="8"/>
  <c r="AE60" i="8"/>
  <c r="F60" i="8"/>
  <c r="F59" i="8" s="1"/>
  <c r="B60" i="8"/>
  <c r="AG59" i="8"/>
  <c r="AF59" i="8"/>
  <c r="AE59" i="8"/>
  <c r="AD59" i="8"/>
  <c r="AC59" i="8"/>
  <c r="AB59" i="8"/>
  <c r="AA59" i="8"/>
  <c r="Z59" i="8"/>
  <c r="Y59" i="8"/>
  <c r="X59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E59" i="8"/>
  <c r="AE58" i="8"/>
  <c r="F58" i="8"/>
  <c r="F57" i="8" s="1"/>
  <c r="B58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E57" i="8"/>
  <c r="AE56" i="8"/>
  <c r="F56" i="8" s="1"/>
  <c r="B56" i="8"/>
  <c r="AE55" i="8"/>
  <c r="P55" i="8"/>
  <c r="P53" i="8" s="1"/>
  <c r="B55" i="8"/>
  <c r="AE54" i="8"/>
  <c r="F54" i="8"/>
  <c r="B54" i="8"/>
  <c r="AG53" i="8"/>
  <c r="AF53" i="8"/>
  <c r="AE53" i="8"/>
  <c r="AD53" i="8"/>
  <c r="AC53" i="8"/>
  <c r="AB53" i="8"/>
  <c r="AA53" i="8"/>
  <c r="Z53" i="8"/>
  <c r="Y53" i="8"/>
  <c r="X53" i="8"/>
  <c r="W53" i="8"/>
  <c r="V53" i="8"/>
  <c r="U53" i="8"/>
  <c r="T53" i="8"/>
  <c r="S53" i="8"/>
  <c r="R53" i="8"/>
  <c r="Q53" i="8"/>
  <c r="O53" i="8"/>
  <c r="N53" i="8"/>
  <c r="M53" i="8"/>
  <c r="L53" i="8"/>
  <c r="K53" i="8"/>
  <c r="J53" i="8"/>
  <c r="I53" i="8"/>
  <c r="H53" i="8"/>
  <c r="G53" i="8"/>
  <c r="E53" i="8"/>
  <c r="AE52" i="8"/>
  <c r="F52" i="8"/>
  <c r="B52" i="8"/>
  <c r="AG51" i="8"/>
  <c r="AF51" i="8"/>
  <c r="AE51" i="8"/>
  <c r="AD51" i="8"/>
  <c r="AC51" i="8"/>
  <c r="AB51" i="8"/>
  <c r="AA51" i="8"/>
  <c r="Z51" i="8"/>
  <c r="Y51" i="8"/>
  <c r="X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AE50" i="8"/>
  <c r="F50" i="8"/>
  <c r="B50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AE48" i="8"/>
  <c r="F48" i="8"/>
  <c r="B48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AE46" i="8"/>
  <c r="F46" i="8"/>
  <c r="B46" i="8"/>
  <c r="AE45" i="8"/>
  <c r="F45" i="8" s="1"/>
  <c r="B45" i="8"/>
  <c r="AE44" i="8"/>
  <c r="B44" i="8"/>
  <c r="AG43" i="8"/>
  <c r="AF43" i="8"/>
  <c r="AD43" i="8"/>
  <c r="AC43" i="8"/>
  <c r="AB43" i="8"/>
  <c r="AA43" i="8"/>
  <c r="Z43" i="8"/>
  <c r="Y43" i="8"/>
  <c r="X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E43" i="8"/>
  <c r="AE42" i="8"/>
  <c r="B42" i="8"/>
  <c r="AG41" i="8"/>
  <c r="AF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E41" i="8"/>
  <c r="AE40" i="8"/>
  <c r="B40" i="8"/>
  <c r="AG39" i="8"/>
  <c r="AF39" i="8"/>
  <c r="AD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E39" i="8"/>
  <c r="E35" i="8" s="1"/>
  <c r="AE38" i="8"/>
  <c r="B38" i="8"/>
  <c r="AE37" i="8"/>
  <c r="F37" i="8"/>
  <c r="B37" i="8"/>
  <c r="AE36" i="8"/>
  <c r="F36" i="8"/>
  <c r="B36" i="8"/>
  <c r="AG35" i="8"/>
  <c r="AF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AE34" i="8"/>
  <c r="F34" i="8"/>
  <c r="B34" i="8"/>
  <c r="AE33" i="8"/>
  <c r="F33" i="8" s="1"/>
  <c r="B33" i="8"/>
  <c r="AG32" i="8"/>
  <c r="AF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E32" i="8"/>
  <c r="AE31" i="8"/>
  <c r="F31" i="8" s="1"/>
  <c r="B31" i="8"/>
  <c r="AE30" i="8"/>
  <c r="B30" i="8"/>
  <c r="AG29" i="8"/>
  <c r="AF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E29" i="8"/>
  <c r="AE28" i="8"/>
  <c r="B28" i="8"/>
  <c r="AG27" i="8"/>
  <c r="AG11" i="8" s="1"/>
  <c r="AF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H11" i="8" s="1"/>
  <c r="G27" i="8"/>
  <c r="E27" i="8"/>
  <c r="AE26" i="8"/>
  <c r="B26" i="8"/>
  <c r="AG25" i="8"/>
  <c r="AF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E25" i="8"/>
  <c r="AE24" i="8"/>
  <c r="F24" i="8" s="1"/>
  <c r="F23" i="8" s="1"/>
  <c r="B24" i="8"/>
  <c r="AG23" i="8"/>
  <c r="AF23" i="8"/>
  <c r="AD23" i="8"/>
  <c r="AC23" i="8"/>
  <c r="AB23" i="8"/>
  <c r="AA23" i="8"/>
  <c r="Z23" i="8"/>
  <c r="Z11" i="8" s="1"/>
  <c r="Y23" i="8"/>
  <c r="X23" i="8"/>
  <c r="W23" i="8"/>
  <c r="V23" i="8"/>
  <c r="V11" i="8" s="1"/>
  <c r="U23" i="8"/>
  <c r="T23" i="8"/>
  <c r="S23" i="8"/>
  <c r="R23" i="8"/>
  <c r="R11" i="8" s="1"/>
  <c r="Q23" i="8"/>
  <c r="P23" i="8"/>
  <c r="O23" i="8"/>
  <c r="N23" i="8"/>
  <c r="M23" i="8"/>
  <c r="L23" i="8"/>
  <c r="K23" i="8"/>
  <c r="J23" i="8"/>
  <c r="I23" i="8"/>
  <c r="H23" i="8"/>
  <c r="G23" i="8"/>
  <c r="E23" i="8"/>
  <c r="AE22" i="8"/>
  <c r="F22" i="8" s="1"/>
  <c r="B22" i="8"/>
  <c r="AF21" i="8"/>
  <c r="AE21" i="8"/>
  <c r="F21" i="8" s="1"/>
  <c r="B21" i="8"/>
  <c r="AE20" i="8"/>
  <c r="F20" i="8" s="1"/>
  <c r="B20" i="8"/>
  <c r="AE19" i="8"/>
  <c r="F19" i="8" s="1"/>
  <c r="B19" i="8"/>
  <c r="AE18" i="8"/>
  <c r="F18" i="8"/>
  <c r="B18" i="8"/>
  <c r="AE17" i="8"/>
  <c r="F17" i="8" s="1"/>
  <c r="B17" i="8"/>
  <c r="AE16" i="8"/>
  <c r="F16" i="8" s="1"/>
  <c r="B16" i="8"/>
  <c r="AE15" i="8"/>
  <c r="F15" i="8"/>
  <c r="B15" i="8"/>
  <c r="AG14" i="8"/>
  <c r="AF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E14" i="8"/>
  <c r="AE13" i="8"/>
  <c r="F13" i="8" s="1"/>
  <c r="F12" i="8" s="1"/>
  <c r="B13" i="8"/>
  <c r="AG12" i="8"/>
  <c r="AF12" i="8"/>
  <c r="AD12" i="8"/>
  <c r="AD11" i="8" s="1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O12" i="8"/>
  <c r="N12" i="8"/>
  <c r="M12" i="8"/>
  <c r="L12" i="8"/>
  <c r="K12" i="8"/>
  <c r="J12" i="8"/>
  <c r="I12" i="8"/>
  <c r="H12" i="8"/>
  <c r="G12" i="8"/>
  <c r="E12" i="8"/>
  <c r="L11" i="8"/>
  <c r="F136" i="5"/>
  <c r="E136" i="5"/>
  <c r="D136" i="5"/>
  <c r="C136" i="5"/>
  <c r="F79" i="5"/>
  <c r="E79" i="5"/>
  <c r="D79" i="5"/>
  <c r="C79" i="5"/>
  <c r="F11" i="5"/>
  <c r="E11" i="5"/>
  <c r="D11" i="5"/>
  <c r="C11" i="5"/>
  <c r="F10" i="5"/>
  <c r="E10" i="5"/>
  <c r="D10" i="5"/>
  <c r="C10" i="5"/>
  <c r="C23" i="4"/>
  <c r="C16" i="4"/>
  <c r="C9" i="4"/>
  <c r="AS1639" i="3"/>
  <c r="AS1638" i="3"/>
  <c r="AS1637" i="3"/>
  <c r="AS1636" i="3"/>
  <c r="AS1635" i="3"/>
  <c r="AS1634" i="3"/>
  <c r="AS1633" i="3"/>
  <c r="AS1632" i="3"/>
  <c r="AS1631" i="3"/>
  <c r="AS1630" i="3"/>
  <c r="AS1629" i="3"/>
  <c r="AS1628" i="3"/>
  <c r="AS1627" i="3"/>
  <c r="AS1626" i="3"/>
  <c r="AS1625" i="3"/>
  <c r="AS1624" i="3"/>
  <c r="AS1623" i="3"/>
  <c r="AS1622" i="3"/>
  <c r="AS1621" i="3"/>
  <c r="AS1620" i="3"/>
  <c r="AS1619" i="3"/>
  <c r="AS1618" i="3"/>
  <c r="AS1617" i="3"/>
  <c r="AS1616" i="3"/>
  <c r="AS1615" i="3"/>
  <c r="AS1614" i="3"/>
  <c r="AS1613" i="3"/>
  <c r="AS1612" i="3"/>
  <c r="AS1611" i="3"/>
  <c r="AS1610" i="3"/>
  <c r="AS1609" i="3"/>
  <c r="AS1608" i="3"/>
  <c r="AS1607" i="3"/>
  <c r="AS1606" i="3"/>
  <c r="AS1605" i="3"/>
  <c r="AS1604" i="3"/>
  <c r="AS1603" i="3"/>
  <c r="AS1602" i="3"/>
  <c r="AS1601" i="3"/>
  <c r="AS1600" i="3"/>
  <c r="AS1599" i="3"/>
  <c r="AS1598" i="3"/>
  <c r="AS1597" i="3"/>
  <c r="AS1596" i="3"/>
  <c r="AS1595" i="3"/>
  <c r="AS1594" i="3"/>
  <c r="AS1593" i="3"/>
  <c r="AS1592" i="3"/>
  <c r="AS1591" i="3"/>
  <c r="AS1590" i="3"/>
  <c r="AS1589" i="3"/>
  <c r="AS1588" i="3"/>
  <c r="AS1587" i="3"/>
  <c r="AS1586" i="3"/>
  <c r="AS1585" i="3"/>
  <c r="AS1584" i="3"/>
  <c r="AS1583" i="3"/>
  <c r="AS1582" i="3"/>
  <c r="AS1581" i="3"/>
  <c r="AS1580" i="3"/>
  <c r="AS1579" i="3"/>
  <c r="AS1578" i="3"/>
  <c r="AS1577" i="3"/>
  <c r="AS1576" i="3"/>
  <c r="AS1575" i="3"/>
  <c r="AS1574" i="3"/>
  <c r="AS1573" i="3"/>
  <c r="AS1572" i="3"/>
  <c r="AS1571" i="3"/>
  <c r="AS1570" i="3"/>
  <c r="AS1569" i="3"/>
  <c r="AS1568" i="3"/>
  <c r="AS1567" i="3"/>
  <c r="AS1566" i="3"/>
  <c r="AS1565" i="3"/>
  <c r="AS1564" i="3"/>
  <c r="AS1563" i="3"/>
  <c r="AS1562" i="3"/>
  <c r="AS1561" i="3"/>
  <c r="AS1560" i="3"/>
  <c r="AS1559" i="3"/>
  <c r="AS1558" i="3"/>
  <c r="AS1557" i="3"/>
  <c r="AS1556" i="3"/>
  <c r="AS1555" i="3"/>
  <c r="AS1554" i="3"/>
  <c r="AS1553" i="3"/>
  <c r="AS1552" i="3"/>
  <c r="AS1551" i="3"/>
  <c r="AS1550" i="3"/>
  <c r="AS1549" i="3"/>
  <c r="AS1548" i="3"/>
  <c r="AS1547" i="3"/>
  <c r="AS1546" i="3"/>
  <c r="AS1545" i="3"/>
  <c r="AS1544" i="3"/>
  <c r="AS1543" i="3"/>
  <c r="AS1542" i="3"/>
  <c r="AS1541" i="3"/>
  <c r="AS1540" i="3"/>
  <c r="AS1539" i="3"/>
  <c r="AS1538" i="3"/>
  <c r="AS1537" i="3"/>
  <c r="AS1536" i="3"/>
  <c r="AS1535" i="3"/>
  <c r="AS1534" i="3"/>
  <c r="AS1533" i="3"/>
  <c r="AS1532" i="3"/>
  <c r="AS1531" i="3"/>
  <c r="AS1530" i="3"/>
  <c r="AS1529" i="3"/>
  <c r="AS1528" i="3"/>
  <c r="AS1527" i="3"/>
  <c r="AS1526" i="3"/>
  <c r="AS1525" i="3"/>
  <c r="AS1524" i="3"/>
  <c r="AS1523" i="3"/>
  <c r="AS1522" i="3"/>
  <c r="AS1521" i="3"/>
  <c r="AS1520" i="3"/>
  <c r="AS1519" i="3"/>
  <c r="AS1518" i="3"/>
  <c r="AS1517" i="3"/>
  <c r="AS1516" i="3"/>
  <c r="AS1515" i="3"/>
  <c r="AS1514" i="3"/>
  <c r="AS1513" i="3"/>
  <c r="AS1512" i="3"/>
  <c r="AS1511" i="3"/>
  <c r="AS1510" i="3"/>
  <c r="AS1509" i="3"/>
  <c r="AS1508" i="3"/>
  <c r="AS1507" i="3"/>
  <c r="AS1506" i="3"/>
  <c r="AS1505" i="3"/>
  <c r="AS1504" i="3"/>
  <c r="AS1503" i="3"/>
  <c r="AS1502" i="3"/>
  <c r="AS1501" i="3"/>
  <c r="AS1500" i="3"/>
  <c r="AS1499" i="3"/>
  <c r="AS1498" i="3"/>
  <c r="AS1497" i="3"/>
  <c r="AS1496" i="3"/>
  <c r="AS1495" i="3"/>
  <c r="AS1494" i="3"/>
  <c r="AS1493" i="3"/>
  <c r="AS1492" i="3"/>
  <c r="AS1491" i="3"/>
  <c r="AS1490" i="3"/>
  <c r="AS1489" i="3"/>
  <c r="AS1488" i="3"/>
  <c r="AS1487" i="3"/>
  <c r="AS1486" i="3"/>
  <c r="AS1485" i="3"/>
  <c r="AS1484" i="3"/>
  <c r="AS1483" i="3"/>
  <c r="AS1482" i="3"/>
  <c r="AS1481" i="3"/>
  <c r="AS1480" i="3"/>
  <c r="AS1479" i="3"/>
  <c r="AS1478" i="3"/>
  <c r="AS1477" i="3"/>
  <c r="AS1476" i="3"/>
  <c r="AS1475" i="3"/>
  <c r="AS1474" i="3"/>
  <c r="AS1473" i="3"/>
  <c r="AS1472" i="3"/>
  <c r="AS1471" i="3"/>
  <c r="AS1470" i="3"/>
  <c r="AS1469" i="3"/>
  <c r="AS1468" i="3"/>
  <c r="AS1467" i="3"/>
  <c r="AS1466" i="3"/>
  <c r="AS1465" i="3"/>
  <c r="AS1464" i="3"/>
  <c r="AS1463" i="3"/>
  <c r="AS1462" i="3"/>
  <c r="AS1461" i="3"/>
  <c r="AS1460" i="3"/>
  <c r="AS1459" i="3"/>
  <c r="AS1458" i="3"/>
  <c r="AS1457" i="3"/>
  <c r="AS1456" i="3"/>
  <c r="AS1455" i="3"/>
  <c r="AS1454" i="3"/>
  <c r="AS1453" i="3"/>
  <c r="AS1452" i="3"/>
  <c r="AS1451" i="3"/>
  <c r="AS1450" i="3"/>
  <c r="AS1449" i="3"/>
  <c r="AS1448" i="3"/>
  <c r="AS1447" i="3"/>
  <c r="AS1446" i="3"/>
  <c r="AS1445" i="3"/>
  <c r="AS1444" i="3"/>
  <c r="AS1443" i="3"/>
  <c r="AS1442" i="3"/>
  <c r="AS1441" i="3"/>
  <c r="AS1440" i="3"/>
  <c r="AS1439" i="3"/>
  <c r="AS1438" i="3"/>
  <c r="AS1437" i="3"/>
  <c r="AS1436" i="3"/>
  <c r="AS1435" i="3"/>
  <c r="AS1434" i="3"/>
  <c r="AS1433" i="3"/>
  <c r="AS1432" i="3"/>
  <c r="AS1431" i="3"/>
  <c r="AS1430" i="3"/>
  <c r="AS1429" i="3"/>
  <c r="AS1428" i="3"/>
  <c r="AS1427" i="3"/>
  <c r="AS1426" i="3"/>
  <c r="AS1425" i="3"/>
  <c r="AS1424" i="3"/>
  <c r="AS1423" i="3"/>
  <c r="AS1422" i="3"/>
  <c r="AS1421" i="3"/>
  <c r="AS1420" i="3"/>
  <c r="AS1419" i="3"/>
  <c r="AS1418" i="3"/>
  <c r="AS1417" i="3"/>
  <c r="AS1416" i="3"/>
  <c r="AS1415" i="3"/>
  <c r="AS1414" i="3"/>
  <c r="AS1413" i="3"/>
  <c r="AS1412" i="3"/>
  <c r="AS1411" i="3"/>
  <c r="AS1410" i="3"/>
  <c r="AS1409" i="3"/>
  <c r="AS1408" i="3"/>
  <c r="AS1407" i="3"/>
  <c r="AS1406" i="3"/>
  <c r="AS1405" i="3"/>
  <c r="AS1404" i="3"/>
  <c r="AS1403" i="3"/>
  <c r="AS1402" i="3"/>
  <c r="AS1401" i="3"/>
  <c r="AS1400" i="3"/>
  <c r="AS1399" i="3"/>
  <c r="AS1398" i="3"/>
  <c r="AS1397" i="3"/>
  <c r="AS1396" i="3"/>
  <c r="AS1395" i="3"/>
  <c r="AS1394" i="3"/>
  <c r="AS1393" i="3"/>
  <c r="AS1392" i="3"/>
  <c r="AS1391" i="3"/>
  <c r="AS1390" i="3"/>
  <c r="AS1389" i="3"/>
  <c r="AS1388" i="3"/>
  <c r="AS1387" i="3"/>
  <c r="AS1386" i="3"/>
  <c r="AS1385" i="3"/>
  <c r="AS1384" i="3"/>
  <c r="AS1383" i="3"/>
  <c r="AS1382" i="3"/>
  <c r="AS1381" i="3"/>
  <c r="AS1380" i="3"/>
  <c r="AS1379" i="3"/>
  <c r="AS1378" i="3"/>
  <c r="AS1377" i="3"/>
  <c r="AS1376" i="3"/>
  <c r="AS1375" i="3"/>
  <c r="AS1374" i="3"/>
  <c r="AS1373" i="3"/>
  <c r="AS1372" i="3"/>
  <c r="AS1371" i="3"/>
  <c r="AS1370" i="3"/>
  <c r="AS1369" i="3"/>
  <c r="AS1368" i="3"/>
  <c r="AS1367" i="3"/>
  <c r="AS1366" i="3"/>
  <c r="AS1365" i="3"/>
  <c r="AS1364" i="3"/>
  <c r="AS1363" i="3"/>
  <c r="AS1362" i="3"/>
  <c r="AS1361" i="3"/>
  <c r="AS1360" i="3"/>
  <c r="AS1359" i="3"/>
  <c r="AS1358" i="3"/>
  <c r="AS1357" i="3"/>
  <c r="AS1356" i="3"/>
  <c r="AS1355" i="3"/>
  <c r="AS1354" i="3"/>
  <c r="AS1353" i="3"/>
  <c r="AS1352" i="3"/>
  <c r="AS1351" i="3"/>
  <c r="AS1350" i="3"/>
  <c r="AS1349" i="3"/>
  <c r="AS1348" i="3"/>
  <c r="AS1347" i="3"/>
  <c r="AS1346" i="3"/>
  <c r="AS1345" i="3"/>
  <c r="AS1344" i="3"/>
  <c r="AS1343" i="3"/>
  <c r="AS1342" i="3"/>
  <c r="AS1341" i="3"/>
  <c r="AS1340" i="3"/>
  <c r="AS1339" i="3"/>
  <c r="AS1338" i="3"/>
  <c r="AS1337" i="3"/>
  <c r="AS1336" i="3"/>
  <c r="AS1335" i="3"/>
  <c r="AS1334" i="3"/>
  <c r="AS1333" i="3"/>
  <c r="AS1332" i="3"/>
  <c r="AS1331" i="3"/>
  <c r="AS1330" i="3"/>
  <c r="AS1329" i="3"/>
  <c r="AS1328" i="3"/>
  <c r="AS1327" i="3"/>
  <c r="AS1326" i="3"/>
  <c r="AS1325" i="3"/>
  <c r="AS1324" i="3"/>
  <c r="AS1323" i="3"/>
  <c r="AS1322" i="3"/>
  <c r="AS1321" i="3"/>
  <c r="AS1320" i="3"/>
  <c r="AS1319" i="3"/>
  <c r="AS1318" i="3"/>
  <c r="AS1317" i="3"/>
  <c r="AS1316" i="3"/>
  <c r="AS1315" i="3"/>
  <c r="AS1314" i="3"/>
  <c r="AS1313" i="3"/>
  <c r="AS1312" i="3"/>
  <c r="AS1311" i="3"/>
  <c r="AS1310" i="3"/>
  <c r="AS1309" i="3"/>
  <c r="AS1308" i="3"/>
  <c r="AS1307" i="3"/>
  <c r="AS1306" i="3"/>
  <c r="AS1305" i="3"/>
  <c r="AS1304" i="3"/>
  <c r="AS1303" i="3"/>
  <c r="AS1302" i="3"/>
  <c r="AS1301" i="3"/>
  <c r="AS1300" i="3"/>
  <c r="AS1299" i="3"/>
  <c r="AS1298" i="3"/>
  <c r="AS1297" i="3"/>
  <c r="AS1296" i="3"/>
  <c r="AS1295" i="3"/>
  <c r="AS1294" i="3"/>
  <c r="AS1293" i="3"/>
  <c r="AS1292" i="3"/>
  <c r="AS1291" i="3"/>
  <c r="AS1290" i="3"/>
  <c r="AS1289" i="3"/>
  <c r="AS1288" i="3"/>
  <c r="AS1287" i="3"/>
  <c r="AS1286" i="3"/>
  <c r="AS1285" i="3"/>
  <c r="AS1284" i="3"/>
  <c r="AS1283" i="3"/>
  <c r="AS1282" i="3"/>
  <c r="AS1281" i="3"/>
  <c r="AS1280" i="3"/>
  <c r="AS1279" i="3"/>
  <c r="AS1278" i="3"/>
  <c r="AS1277" i="3"/>
  <c r="AS1276" i="3"/>
  <c r="AS1275" i="3"/>
  <c r="AS1274" i="3"/>
  <c r="AS1273" i="3"/>
  <c r="AS1272" i="3"/>
  <c r="AS1271" i="3"/>
  <c r="AS1270" i="3"/>
  <c r="AS1269" i="3"/>
  <c r="AS1268" i="3"/>
  <c r="AS1267" i="3"/>
  <c r="AS1266" i="3"/>
  <c r="AS1265" i="3"/>
  <c r="AS1264" i="3"/>
  <c r="AS1263" i="3"/>
  <c r="AS1262" i="3"/>
  <c r="AS1261" i="3"/>
  <c r="AS1260" i="3"/>
  <c r="AS1259" i="3"/>
  <c r="AS1258" i="3"/>
  <c r="AS1257" i="3"/>
  <c r="AS1256" i="3"/>
  <c r="AS1255" i="3"/>
  <c r="AS1254" i="3"/>
  <c r="AS1253" i="3"/>
  <c r="AS1252" i="3"/>
  <c r="AS1251" i="3"/>
  <c r="AS1250" i="3"/>
  <c r="AS1249" i="3"/>
  <c r="AS1248" i="3"/>
  <c r="AS1247" i="3"/>
  <c r="AS1246" i="3"/>
  <c r="AS1245" i="3"/>
  <c r="AS1244" i="3"/>
  <c r="AS1243" i="3"/>
  <c r="AS1242" i="3"/>
  <c r="AS1241" i="3"/>
  <c r="AS1240" i="3"/>
  <c r="AS1239" i="3"/>
  <c r="AS1238" i="3"/>
  <c r="AS1237" i="3"/>
  <c r="AS1236" i="3"/>
  <c r="AS1235" i="3"/>
  <c r="AS1234" i="3"/>
  <c r="AS1233" i="3"/>
  <c r="AS1232" i="3"/>
  <c r="AS1231" i="3"/>
  <c r="AS1230" i="3"/>
  <c r="AS1229" i="3"/>
  <c r="AS1228" i="3"/>
  <c r="AS1227" i="3"/>
  <c r="AS1226" i="3"/>
  <c r="AS1225" i="3"/>
  <c r="AS1224" i="3"/>
  <c r="AS1223" i="3"/>
  <c r="AS1222" i="3"/>
  <c r="AS1221" i="3"/>
  <c r="AS1220" i="3"/>
  <c r="AS1219" i="3"/>
  <c r="AS1218" i="3"/>
  <c r="AS1217" i="3"/>
  <c r="AS1216" i="3"/>
  <c r="AS1215" i="3"/>
  <c r="AS1214" i="3"/>
  <c r="AH1214" i="3"/>
  <c r="AS1213" i="3"/>
  <c r="AH1213" i="3"/>
  <c r="AG1213" i="3"/>
  <c r="AS1212" i="3"/>
  <c r="AH1212" i="3"/>
  <c r="AG1212" i="3"/>
  <c r="AA1212" i="3"/>
  <c r="Y1212" i="3"/>
  <c r="V1212" i="3"/>
  <c r="U1212" i="3"/>
  <c r="T1212" i="3"/>
  <c r="S1212" i="3"/>
  <c r="B1212" i="3"/>
  <c r="AS1211" i="3"/>
  <c r="AH1211" i="3"/>
  <c r="AA1211" i="3"/>
  <c r="Y1211" i="3"/>
  <c r="V1211" i="3"/>
  <c r="U1211" i="3"/>
  <c r="T1211" i="3"/>
  <c r="S1211" i="3"/>
  <c r="R1211" i="3"/>
  <c r="Q1211" i="3"/>
  <c r="L1211" i="3"/>
  <c r="K1211" i="3"/>
  <c r="J1211" i="3"/>
  <c r="I1211" i="3"/>
  <c r="AS1210" i="3"/>
  <c r="AH1210" i="3"/>
  <c r="AA1210" i="3"/>
  <c r="Y1210" i="3"/>
  <c r="V1210" i="3"/>
  <c r="U1210" i="3"/>
  <c r="T1210" i="3"/>
  <c r="S1210" i="3"/>
  <c r="B1210" i="3"/>
  <c r="AS1209" i="3"/>
  <c r="AH1209" i="3"/>
  <c r="AA1209" i="3"/>
  <c r="Y1209" i="3"/>
  <c r="V1209" i="3"/>
  <c r="U1209" i="3"/>
  <c r="T1209" i="3"/>
  <c r="S1209" i="3"/>
  <c r="B1209" i="3"/>
  <c r="AS1208" i="3"/>
  <c r="AH1208" i="3"/>
  <c r="AA1208" i="3"/>
  <c r="Y1208" i="3"/>
  <c r="V1208" i="3"/>
  <c r="U1208" i="3"/>
  <c r="T1208" i="3"/>
  <c r="S1208" i="3"/>
  <c r="B1208" i="3"/>
  <c r="AS1207" i="3"/>
  <c r="AH1207" i="3"/>
  <c r="AA1207" i="3"/>
  <c r="Y1207" i="3"/>
  <c r="V1207" i="3"/>
  <c r="U1207" i="3"/>
  <c r="T1207" i="3"/>
  <c r="S1207" i="3"/>
  <c r="R1207" i="3"/>
  <c r="Q1207" i="3"/>
  <c r="L1207" i="3"/>
  <c r="K1207" i="3"/>
  <c r="J1207" i="3"/>
  <c r="I1207" i="3"/>
  <c r="AS1206" i="3"/>
  <c r="AH1206" i="3"/>
  <c r="AA1206" i="3"/>
  <c r="Y1206" i="3"/>
  <c r="V1206" i="3"/>
  <c r="U1206" i="3"/>
  <c r="T1206" i="3"/>
  <c r="S1206" i="3"/>
  <c r="B1206" i="3"/>
  <c r="AS1205" i="3"/>
  <c r="AH1205" i="3"/>
  <c r="AA1205" i="3"/>
  <c r="Y1205" i="3"/>
  <c r="V1205" i="3"/>
  <c r="U1205" i="3"/>
  <c r="T1205" i="3"/>
  <c r="S1205" i="3"/>
  <c r="R1205" i="3"/>
  <c r="Q1205" i="3"/>
  <c r="L1205" i="3"/>
  <c r="K1205" i="3"/>
  <c r="J1205" i="3"/>
  <c r="I1205" i="3"/>
  <c r="AS1204" i="3"/>
  <c r="AH1204" i="3"/>
  <c r="AG1204" i="3"/>
  <c r="AA1204" i="3"/>
  <c r="Y1204" i="3"/>
  <c r="V1204" i="3"/>
  <c r="U1204" i="3"/>
  <c r="T1204" i="3"/>
  <c r="S1204" i="3"/>
  <c r="B1204" i="3"/>
  <c r="AS1203" i="3"/>
  <c r="AH1203" i="3"/>
  <c r="AA1203" i="3"/>
  <c r="Y1203" i="3"/>
  <c r="V1203" i="3"/>
  <c r="U1203" i="3"/>
  <c r="T1203" i="3"/>
  <c r="S1203" i="3"/>
  <c r="R1203" i="3"/>
  <c r="Q1203" i="3"/>
  <c r="L1203" i="3"/>
  <c r="K1203" i="3"/>
  <c r="J1203" i="3"/>
  <c r="I1203" i="3"/>
  <c r="AS1202" i="3"/>
  <c r="AH1202" i="3"/>
  <c r="AA1202" i="3"/>
  <c r="Y1202" i="3"/>
  <c r="V1202" i="3"/>
  <c r="U1202" i="3"/>
  <c r="T1202" i="3"/>
  <c r="S1202" i="3"/>
  <c r="B1202" i="3"/>
  <c r="AS1201" i="3"/>
  <c r="AH1201" i="3"/>
  <c r="AA1201" i="3"/>
  <c r="Y1201" i="3"/>
  <c r="V1201" i="3"/>
  <c r="U1201" i="3"/>
  <c r="T1201" i="3"/>
  <c r="S1201" i="3"/>
  <c r="R1201" i="3"/>
  <c r="Q1201" i="3"/>
  <c r="L1201" i="3"/>
  <c r="K1201" i="3"/>
  <c r="J1201" i="3"/>
  <c r="I1201" i="3"/>
  <c r="AS1200" i="3"/>
  <c r="AH1200" i="3"/>
  <c r="AG1200" i="3"/>
  <c r="AA1200" i="3"/>
  <c r="Y1200" i="3"/>
  <c r="V1200" i="3"/>
  <c r="U1200" i="3"/>
  <c r="T1200" i="3"/>
  <c r="S1200" i="3"/>
  <c r="B1200" i="3"/>
  <c r="AS1199" i="3"/>
  <c r="AH1199" i="3"/>
  <c r="AG1199" i="3"/>
  <c r="AA1199" i="3"/>
  <c r="Y1199" i="3"/>
  <c r="V1199" i="3"/>
  <c r="U1199" i="3"/>
  <c r="T1199" i="3"/>
  <c r="S1199" i="3"/>
  <c r="B1199" i="3"/>
  <c r="AS1198" i="3"/>
  <c r="AH1198" i="3"/>
  <c r="AA1198" i="3"/>
  <c r="Y1198" i="3"/>
  <c r="V1198" i="3"/>
  <c r="U1198" i="3"/>
  <c r="T1198" i="3"/>
  <c r="S1198" i="3"/>
  <c r="B1198" i="3"/>
  <c r="AS1197" i="3"/>
  <c r="AH1197" i="3"/>
  <c r="AA1197" i="3"/>
  <c r="Y1197" i="3"/>
  <c r="V1197" i="3"/>
  <c r="U1197" i="3"/>
  <c r="T1197" i="3"/>
  <c r="S1197" i="3"/>
  <c r="R1197" i="3"/>
  <c r="Q1197" i="3"/>
  <c r="L1197" i="3"/>
  <c r="K1197" i="3"/>
  <c r="J1197" i="3"/>
  <c r="I1197" i="3"/>
  <c r="AS1196" i="3"/>
  <c r="AH1196" i="3"/>
  <c r="AA1196" i="3"/>
  <c r="Y1196" i="3"/>
  <c r="V1196" i="3"/>
  <c r="U1196" i="3"/>
  <c r="T1196" i="3"/>
  <c r="S1196" i="3"/>
  <c r="B1196" i="3"/>
  <c r="AS1195" i="3"/>
  <c r="AH1195" i="3"/>
  <c r="AA1195" i="3"/>
  <c r="Y1195" i="3"/>
  <c r="V1195" i="3"/>
  <c r="U1195" i="3"/>
  <c r="T1195" i="3"/>
  <c r="S1195" i="3"/>
  <c r="B1195" i="3"/>
  <c r="AS1194" i="3"/>
  <c r="AH1194" i="3"/>
  <c r="AA1194" i="3"/>
  <c r="Y1194" i="3"/>
  <c r="V1194" i="3"/>
  <c r="U1194" i="3"/>
  <c r="T1194" i="3"/>
  <c r="S1194" i="3"/>
  <c r="R1194" i="3"/>
  <c r="Q1194" i="3"/>
  <c r="L1194" i="3"/>
  <c r="K1194" i="3"/>
  <c r="J1194" i="3"/>
  <c r="I1194" i="3"/>
  <c r="AS1193" i="3"/>
  <c r="AH1193" i="3"/>
  <c r="AA1193" i="3"/>
  <c r="Y1193" i="3"/>
  <c r="V1193" i="3"/>
  <c r="U1193" i="3"/>
  <c r="T1193" i="3"/>
  <c r="S1193" i="3"/>
  <c r="B1193" i="3"/>
  <c r="AS1192" i="3"/>
  <c r="AH1192" i="3"/>
  <c r="AA1192" i="3"/>
  <c r="Y1192" i="3"/>
  <c r="V1192" i="3"/>
  <c r="U1192" i="3"/>
  <c r="T1192" i="3"/>
  <c r="S1192" i="3"/>
  <c r="R1192" i="3"/>
  <c r="Q1192" i="3"/>
  <c r="L1192" i="3"/>
  <c r="K1192" i="3"/>
  <c r="J1192" i="3"/>
  <c r="I1192" i="3"/>
  <c r="AS1191" i="3"/>
  <c r="AH1191" i="3"/>
  <c r="AA1191" i="3"/>
  <c r="Y1191" i="3"/>
  <c r="V1191" i="3"/>
  <c r="U1191" i="3"/>
  <c r="T1191" i="3"/>
  <c r="S1191" i="3"/>
  <c r="B1191" i="3"/>
  <c r="AS1190" i="3"/>
  <c r="AH1190" i="3"/>
  <c r="AA1190" i="3"/>
  <c r="Y1190" i="3"/>
  <c r="V1190" i="3"/>
  <c r="U1190" i="3"/>
  <c r="T1190" i="3"/>
  <c r="S1190" i="3"/>
  <c r="R1190" i="3"/>
  <c r="Q1190" i="3"/>
  <c r="L1190" i="3"/>
  <c r="K1190" i="3"/>
  <c r="J1190" i="3"/>
  <c r="I1190" i="3"/>
  <c r="AS1189" i="3"/>
  <c r="AH1189" i="3"/>
  <c r="AA1189" i="3"/>
  <c r="Y1189" i="3"/>
  <c r="V1189" i="3"/>
  <c r="U1189" i="3"/>
  <c r="T1189" i="3"/>
  <c r="S1189" i="3"/>
  <c r="B1189" i="3"/>
  <c r="AS1188" i="3"/>
  <c r="AH1188" i="3"/>
  <c r="AA1188" i="3"/>
  <c r="Y1188" i="3"/>
  <c r="V1188" i="3"/>
  <c r="U1188" i="3"/>
  <c r="T1188" i="3"/>
  <c r="S1188" i="3"/>
  <c r="B1188" i="3"/>
  <c r="AS1187" i="3"/>
  <c r="AH1187" i="3"/>
  <c r="AA1187" i="3"/>
  <c r="Y1187" i="3"/>
  <c r="V1187" i="3"/>
  <c r="U1187" i="3"/>
  <c r="T1187" i="3"/>
  <c r="S1187" i="3"/>
  <c r="R1187" i="3"/>
  <c r="Q1187" i="3"/>
  <c r="L1187" i="3"/>
  <c r="K1187" i="3"/>
  <c r="J1187" i="3"/>
  <c r="I1187" i="3"/>
  <c r="AS1186" i="3"/>
  <c r="AH1186" i="3"/>
  <c r="AA1186" i="3"/>
  <c r="Y1186" i="3"/>
  <c r="V1186" i="3"/>
  <c r="U1186" i="3"/>
  <c r="T1186" i="3"/>
  <c r="S1186" i="3"/>
  <c r="B1186" i="3"/>
  <c r="AS1185" i="3"/>
  <c r="AH1185" i="3"/>
  <c r="AA1185" i="3"/>
  <c r="Y1185" i="3"/>
  <c r="V1185" i="3"/>
  <c r="U1185" i="3"/>
  <c r="T1185" i="3"/>
  <c r="S1185" i="3"/>
  <c r="B1185" i="3"/>
  <c r="AS1184" i="3"/>
  <c r="AH1184" i="3"/>
  <c r="AA1184" i="3"/>
  <c r="Y1184" i="3"/>
  <c r="V1184" i="3"/>
  <c r="T1184" i="3"/>
  <c r="S1184" i="3"/>
  <c r="B1184" i="3"/>
  <c r="AS1183" i="3"/>
  <c r="AH1183" i="3"/>
  <c r="AA1183" i="3"/>
  <c r="Y1183" i="3"/>
  <c r="V1183" i="3"/>
  <c r="T1183" i="3"/>
  <c r="S1183" i="3"/>
  <c r="B1183" i="3"/>
  <c r="AS1182" i="3"/>
  <c r="AH1182" i="3"/>
  <c r="AA1182" i="3"/>
  <c r="Y1182" i="3"/>
  <c r="V1182" i="3"/>
  <c r="U1182" i="3"/>
  <c r="T1182" i="3"/>
  <c r="S1182" i="3"/>
  <c r="R1182" i="3"/>
  <c r="Q1182" i="3"/>
  <c r="L1182" i="3"/>
  <c r="K1182" i="3"/>
  <c r="J1182" i="3"/>
  <c r="I1182" i="3"/>
  <c r="AS1181" i="3"/>
  <c r="AH1181" i="3"/>
  <c r="AA1181" i="3"/>
  <c r="Y1181" i="3"/>
  <c r="V1181" i="3"/>
  <c r="U1181" i="3"/>
  <c r="T1181" i="3"/>
  <c r="S1181" i="3"/>
  <c r="B1181" i="3"/>
  <c r="AS1180" i="3"/>
  <c r="AH1180" i="3"/>
  <c r="AA1180" i="3"/>
  <c r="Y1180" i="3"/>
  <c r="V1180" i="3"/>
  <c r="U1180" i="3"/>
  <c r="T1180" i="3"/>
  <c r="S1180" i="3"/>
  <c r="B1180" i="3"/>
  <c r="AS1179" i="3"/>
  <c r="AH1179" i="3"/>
  <c r="AA1179" i="3"/>
  <c r="Y1179" i="3"/>
  <c r="V1179" i="3"/>
  <c r="U1179" i="3"/>
  <c r="T1179" i="3"/>
  <c r="S1179" i="3"/>
  <c r="B1179" i="3"/>
  <c r="AS1178" i="3"/>
  <c r="AH1178" i="3"/>
  <c r="AA1178" i="3"/>
  <c r="Y1178" i="3"/>
  <c r="V1178" i="3"/>
  <c r="U1178" i="3"/>
  <c r="T1178" i="3"/>
  <c r="S1178" i="3"/>
  <c r="R1178" i="3"/>
  <c r="Q1178" i="3"/>
  <c r="L1178" i="3"/>
  <c r="K1178" i="3"/>
  <c r="J1178" i="3"/>
  <c r="I1178" i="3"/>
  <c r="AS1177" i="3"/>
  <c r="AH1177" i="3"/>
  <c r="AA1177" i="3"/>
  <c r="Y1177" i="3"/>
  <c r="V1177" i="3"/>
  <c r="U1177" i="3"/>
  <c r="T1177" i="3"/>
  <c r="S1177" i="3"/>
  <c r="B1177" i="3"/>
  <c r="AS1176" i="3"/>
  <c r="AH1176" i="3"/>
  <c r="AA1176" i="3"/>
  <c r="Y1176" i="3"/>
  <c r="V1176" i="3"/>
  <c r="U1176" i="3"/>
  <c r="T1176" i="3"/>
  <c r="S1176" i="3"/>
  <c r="B1176" i="3"/>
  <c r="AS1175" i="3"/>
  <c r="AH1175" i="3"/>
  <c r="AA1175" i="3"/>
  <c r="Y1175" i="3"/>
  <c r="V1175" i="3"/>
  <c r="U1175" i="3"/>
  <c r="T1175" i="3"/>
  <c r="S1175" i="3"/>
  <c r="R1175" i="3"/>
  <c r="Q1175" i="3"/>
  <c r="L1175" i="3"/>
  <c r="K1175" i="3"/>
  <c r="J1175" i="3"/>
  <c r="I1175" i="3"/>
  <c r="AS1174" i="3"/>
  <c r="AH1174" i="3"/>
  <c r="AA1174" i="3"/>
  <c r="Y1174" i="3"/>
  <c r="V1174" i="3"/>
  <c r="U1174" i="3"/>
  <c r="T1174" i="3"/>
  <c r="S1174" i="3"/>
  <c r="B1174" i="3"/>
  <c r="AS1173" i="3"/>
  <c r="AH1173" i="3"/>
  <c r="AG1173" i="3"/>
  <c r="AA1173" i="3"/>
  <c r="Y1173" i="3"/>
  <c r="V1173" i="3"/>
  <c r="U1173" i="3"/>
  <c r="T1173" i="3"/>
  <c r="S1173" i="3"/>
  <c r="B1173" i="3"/>
  <c r="AS1172" i="3"/>
  <c r="AH1172" i="3"/>
  <c r="AA1172" i="3"/>
  <c r="Y1172" i="3"/>
  <c r="V1172" i="3"/>
  <c r="U1172" i="3"/>
  <c r="T1172" i="3"/>
  <c r="S1172" i="3"/>
  <c r="R1172" i="3"/>
  <c r="Q1172" i="3"/>
  <c r="L1172" i="3"/>
  <c r="K1172" i="3"/>
  <c r="J1172" i="3"/>
  <c r="I1172" i="3"/>
  <c r="AS1171" i="3"/>
  <c r="AH1171" i="3"/>
  <c r="AA1171" i="3"/>
  <c r="Y1171" i="3"/>
  <c r="V1171" i="3"/>
  <c r="U1171" i="3"/>
  <c r="T1171" i="3"/>
  <c r="S1171" i="3"/>
  <c r="B1171" i="3"/>
  <c r="AS1170" i="3"/>
  <c r="AH1170" i="3"/>
  <c r="AA1170" i="3"/>
  <c r="Y1170" i="3"/>
  <c r="V1170" i="3"/>
  <c r="U1170" i="3"/>
  <c r="T1170" i="3"/>
  <c r="S1170" i="3"/>
  <c r="R1170" i="3"/>
  <c r="Q1170" i="3"/>
  <c r="L1170" i="3"/>
  <c r="K1170" i="3"/>
  <c r="J1170" i="3"/>
  <c r="I1170" i="3"/>
  <c r="AS1169" i="3"/>
  <c r="AH1169" i="3"/>
  <c r="AA1169" i="3"/>
  <c r="Y1169" i="3"/>
  <c r="V1169" i="3"/>
  <c r="U1169" i="3"/>
  <c r="T1169" i="3"/>
  <c r="S1169" i="3"/>
  <c r="B1169" i="3"/>
  <c r="AS1168" i="3"/>
  <c r="AH1168" i="3"/>
  <c r="AA1168" i="3"/>
  <c r="Y1168" i="3"/>
  <c r="V1168" i="3"/>
  <c r="U1168" i="3"/>
  <c r="T1168" i="3"/>
  <c r="S1168" i="3"/>
  <c r="R1168" i="3"/>
  <c r="Q1168" i="3"/>
  <c r="L1168" i="3"/>
  <c r="K1168" i="3"/>
  <c r="J1168" i="3"/>
  <c r="I1168" i="3"/>
  <c r="AS1167" i="3"/>
  <c r="AH1167" i="3"/>
  <c r="AA1167" i="3"/>
  <c r="Y1167" i="3"/>
  <c r="V1167" i="3"/>
  <c r="U1167" i="3"/>
  <c r="T1167" i="3"/>
  <c r="S1167" i="3"/>
  <c r="K1167" i="3"/>
  <c r="B1167" i="3"/>
  <c r="AS1166" i="3"/>
  <c r="AH1166" i="3"/>
  <c r="AA1166" i="3"/>
  <c r="Y1166" i="3"/>
  <c r="V1166" i="3"/>
  <c r="U1166" i="3"/>
  <c r="T1166" i="3"/>
  <c r="S1166" i="3"/>
  <c r="R1166" i="3"/>
  <c r="Q1166" i="3"/>
  <c r="L1166" i="3"/>
  <c r="K1166" i="3"/>
  <c r="J1166" i="3"/>
  <c r="I1166" i="3"/>
  <c r="AS1165" i="3"/>
  <c r="AH1165" i="3"/>
  <c r="AA1165" i="3"/>
  <c r="Y1165" i="3"/>
  <c r="V1165" i="3"/>
  <c r="U1165" i="3"/>
  <c r="T1165" i="3"/>
  <c r="S1165" i="3"/>
  <c r="B1165" i="3"/>
  <c r="AS1164" i="3"/>
  <c r="AH1164" i="3"/>
  <c r="AA1164" i="3"/>
  <c r="Y1164" i="3"/>
  <c r="V1164" i="3"/>
  <c r="U1164" i="3"/>
  <c r="T1164" i="3"/>
  <c r="S1164" i="3"/>
  <c r="B1164" i="3"/>
  <c r="AS1163" i="3"/>
  <c r="AH1163" i="3"/>
  <c r="AA1163" i="3"/>
  <c r="Y1163" i="3"/>
  <c r="V1163" i="3"/>
  <c r="U1163" i="3"/>
  <c r="T1163" i="3"/>
  <c r="S1163" i="3"/>
  <c r="B1163" i="3"/>
  <c r="AS1162" i="3"/>
  <c r="AH1162" i="3"/>
  <c r="AA1162" i="3"/>
  <c r="Y1162" i="3"/>
  <c r="V1162" i="3"/>
  <c r="U1162" i="3"/>
  <c r="T1162" i="3"/>
  <c r="S1162" i="3"/>
  <c r="R1162" i="3"/>
  <c r="Q1162" i="3"/>
  <c r="L1162" i="3"/>
  <c r="K1162" i="3"/>
  <c r="J1162" i="3"/>
  <c r="I1162" i="3"/>
  <c r="AS1161" i="3"/>
  <c r="AH1161" i="3"/>
  <c r="AA1161" i="3"/>
  <c r="Y1161" i="3"/>
  <c r="V1161" i="3"/>
  <c r="U1161" i="3"/>
  <c r="T1161" i="3"/>
  <c r="S1161" i="3"/>
  <c r="B1161" i="3"/>
  <c r="AS1160" i="3"/>
  <c r="AH1160" i="3"/>
  <c r="AA1160" i="3"/>
  <c r="Y1160" i="3"/>
  <c r="V1160" i="3"/>
  <c r="U1160" i="3"/>
  <c r="T1160" i="3"/>
  <c r="S1160" i="3"/>
  <c r="R1160" i="3"/>
  <c r="Q1160" i="3"/>
  <c r="L1160" i="3"/>
  <c r="K1160" i="3"/>
  <c r="J1160" i="3"/>
  <c r="I1160" i="3"/>
  <c r="AS1159" i="3"/>
  <c r="AH1159" i="3"/>
  <c r="AA1159" i="3"/>
  <c r="Y1159" i="3"/>
  <c r="V1159" i="3"/>
  <c r="U1159" i="3"/>
  <c r="T1159" i="3"/>
  <c r="S1159" i="3"/>
  <c r="B1159" i="3"/>
  <c r="AS1158" i="3"/>
  <c r="AH1158" i="3"/>
  <c r="AA1158" i="3"/>
  <c r="Y1158" i="3"/>
  <c r="V1158" i="3"/>
  <c r="U1158" i="3"/>
  <c r="T1158" i="3"/>
  <c r="S1158" i="3"/>
  <c r="R1158" i="3"/>
  <c r="Q1158" i="3"/>
  <c r="L1158" i="3"/>
  <c r="K1158" i="3"/>
  <c r="J1158" i="3"/>
  <c r="I1158" i="3"/>
  <c r="AS1157" i="3"/>
  <c r="AH1157" i="3"/>
  <c r="AA1157" i="3"/>
  <c r="Y1157" i="3"/>
  <c r="V1157" i="3"/>
  <c r="T1157" i="3"/>
  <c r="S1157" i="3"/>
  <c r="B1157" i="3"/>
  <c r="AS1156" i="3"/>
  <c r="AH1156" i="3"/>
  <c r="AA1156" i="3"/>
  <c r="Y1156" i="3"/>
  <c r="V1156" i="3"/>
  <c r="U1156" i="3"/>
  <c r="T1156" i="3"/>
  <c r="S1156" i="3"/>
  <c r="R1156" i="3"/>
  <c r="Q1156" i="3"/>
  <c r="L1156" i="3"/>
  <c r="K1156" i="3"/>
  <c r="J1156" i="3"/>
  <c r="I1156" i="3"/>
  <c r="AS1155" i="3"/>
  <c r="AH1155" i="3"/>
  <c r="AA1155" i="3"/>
  <c r="Y1155" i="3"/>
  <c r="V1155" i="3"/>
  <c r="T1155" i="3"/>
  <c r="S1155" i="3"/>
  <c r="B1155" i="3"/>
  <c r="AS1154" i="3"/>
  <c r="AH1154" i="3"/>
  <c r="AA1154" i="3"/>
  <c r="Y1154" i="3"/>
  <c r="V1154" i="3"/>
  <c r="U1154" i="3"/>
  <c r="T1154" i="3"/>
  <c r="S1154" i="3"/>
  <c r="B1154" i="3"/>
  <c r="AS1153" i="3"/>
  <c r="AH1153" i="3"/>
  <c r="AA1153" i="3"/>
  <c r="Y1153" i="3"/>
  <c r="V1153" i="3"/>
  <c r="U1153" i="3"/>
  <c r="T1153" i="3"/>
  <c r="S1153" i="3"/>
  <c r="B1153" i="3"/>
  <c r="AS1152" i="3"/>
  <c r="AH1152" i="3"/>
  <c r="AA1152" i="3"/>
  <c r="Y1152" i="3"/>
  <c r="V1152" i="3"/>
  <c r="U1152" i="3"/>
  <c r="T1152" i="3"/>
  <c r="S1152" i="3"/>
  <c r="R1152" i="3"/>
  <c r="Q1152" i="3"/>
  <c r="L1152" i="3"/>
  <c r="K1152" i="3"/>
  <c r="J1152" i="3"/>
  <c r="I1152" i="3"/>
  <c r="AS1151" i="3"/>
  <c r="AH1151" i="3"/>
  <c r="AA1151" i="3"/>
  <c r="Y1151" i="3"/>
  <c r="V1151" i="3"/>
  <c r="U1151" i="3"/>
  <c r="T1151" i="3"/>
  <c r="S1151" i="3"/>
  <c r="B1151" i="3"/>
  <c r="AS1150" i="3"/>
  <c r="AH1150" i="3"/>
  <c r="AA1150" i="3"/>
  <c r="Y1150" i="3"/>
  <c r="V1150" i="3"/>
  <c r="U1150" i="3"/>
  <c r="T1150" i="3"/>
  <c r="S1150" i="3"/>
  <c r="R1150" i="3"/>
  <c r="Q1150" i="3"/>
  <c r="L1150" i="3"/>
  <c r="K1150" i="3"/>
  <c r="J1150" i="3"/>
  <c r="I1150" i="3"/>
  <c r="AS1149" i="3"/>
  <c r="AH1149" i="3"/>
  <c r="AA1149" i="3"/>
  <c r="Y1149" i="3"/>
  <c r="V1149" i="3"/>
  <c r="U1149" i="3"/>
  <c r="T1149" i="3"/>
  <c r="S1149" i="3"/>
  <c r="B1149" i="3"/>
  <c r="AS1148" i="3"/>
  <c r="AH1148" i="3"/>
  <c r="AA1148" i="3"/>
  <c r="Y1148" i="3"/>
  <c r="V1148" i="3"/>
  <c r="U1148" i="3"/>
  <c r="T1148" i="3"/>
  <c r="S1148" i="3"/>
  <c r="R1148" i="3"/>
  <c r="Q1148" i="3"/>
  <c r="L1148" i="3"/>
  <c r="K1148" i="3"/>
  <c r="J1148" i="3"/>
  <c r="I1148" i="3"/>
  <c r="AS1147" i="3"/>
  <c r="AH1147" i="3"/>
  <c r="AA1147" i="3"/>
  <c r="Y1147" i="3"/>
  <c r="V1147" i="3"/>
  <c r="U1147" i="3"/>
  <c r="T1147" i="3"/>
  <c r="S1147" i="3"/>
  <c r="B1147" i="3"/>
  <c r="AS1146" i="3"/>
  <c r="AH1146" i="3"/>
  <c r="AA1146" i="3"/>
  <c r="Y1146" i="3"/>
  <c r="V1146" i="3"/>
  <c r="U1146" i="3"/>
  <c r="T1146" i="3"/>
  <c r="S1146" i="3"/>
  <c r="R1146" i="3"/>
  <c r="Q1146" i="3"/>
  <c r="L1146" i="3"/>
  <c r="K1146" i="3"/>
  <c r="J1146" i="3"/>
  <c r="I1146" i="3"/>
  <c r="AS1145" i="3"/>
  <c r="AH1145" i="3"/>
  <c r="AA1145" i="3"/>
  <c r="Y1145" i="3"/>
  <c r="V1145" i="3"/>
  <c r="U1145" i="3"/>
  <c r="T1145" i="3"/>
  <c r="S1145" i="3"/>
  <c r="B1145" i="3"/>
  <c r="AS1144" i="3"/>
  <c r="AH1144" i="3"/>
  <c r="AA1144" i="3"/>
  <c r="Y1144" i="3"/>
  <c r="V1144" i="3"/>
  <c r="U1144" i="3"/>
  <c r="T1144" i="3"/>
  <c r="S1144" i="3"/>
  <c r="R1144" i="3"/>
  <c r="Q1144" i="3"/>
  <c r="L1144" i="3"/>
  <c r="K1144" i="3"/>
  <c r="J1144" i="3"/>
  <c r="I1144" i="3"/>
  <c r="AS1143" i="3"/>
  <c r="AH1143" i="3"/>
  <c r="AA1143" i="3"/>
  <c r="Y1143" i="3"/>
  <c r="V1143" i="3"/>
  <c r="U1143" i="3"/>
  <c r="T1143" i="3"/>
  <c r="S1143" i="3"/>
  <c r="B1143" i="3"/>
  <c r="AS1142" i="3"/>
  <c r="AH1142" i="3"/>
  <c r="AA1142" i="3"/>
  <c r="Y1142" i="3"/>
  <c r="V1142" i="3"/>
  <c r="U1142" i="3"/>
  <c r="T1142" i="3"/>
  <c r="S1142" i="3"/>
  <c r="R1142" i="3"/>
  <c r="Q1142" i="3"/>
  <c r="L1142" i="3"/>
  <c r="K1142" i="3"/>
  <c r="J1142" i="3"/>
  <c r="I1142" i="3"/>
  <c r="AS1141" i="3"/>
  <c r="AH1141" i="3"/>
  <c r="AA1141" i="3"/>
  <c r="Y1141" i="3"/>
  <c r="V1141" i="3"/>
  <c r="U1141" i="3"/>
  <c r="T1141" i="3"/>
  <c r="S1141" i="3"/>
  <c r="B1141" i="3"/>
  <c r="AS1140" i="3"/>
  <c r="AH1140" i="3"/>
  <c r="AA1140" i="3"/>
  <c r="Y1140" i="3"/>
  <c r="V1140" i="3"/>
  <c r="U1140" i="3"/>
  <c r="T1140" i="3"/>
  <c r="S1140" i="3"/>
  <c r="R1140" i="3"/>
  <c r="Q1140" i="3"/>
  <c r="L1140" i="3"/>
  <c r="K1140" i="3"/>
  <c r="J1140" i="3"/>
  <c r="I1140" i="3"/>
  <c r="AS1139" i="3"/>
  <c r="AH1139" i="3"/>
  <c r="AA1139" i="3"/>
  <c r="Y1139" i="3"/>
  <c r="V1139" i="3"/>
  <c r="U1139" i="3"/>
  <c r="T1139" i="3"/>
  <c r="S1139" i="3"/>
  <c r="B1139" i="3"/>
  <c r="AS1138" i="3"/>
  <c r="AH1138" i="3"/>
  <c r="AA1138" i="3"/>
  <c r="Y1138" i="3"/>
  <c r="V1138" i="3"/>
  <c r="U1138" i="3"/>
  <c r="T1138" i="3"/>
  <c r="S1138" i="3"/>
  <c r="B1138" i="3"/>
  <c r="AS1137" i="3"/>
  <c r="AH1137" i="3"/>
  <c r="AA1137" i="3"/>
  <c r="Y1137" i="3"/>
  <c r="V1137" i="3"/>
  <c r="U1137" i="3"/>
  <c r="T1137" i="3"/>
  <c r="S1137" i="3"/>
  <c r="B1137" i="3"/>
  <c r="AS1136" i="3"/>
  <c r="AH1136" i="3"/>
  <c r="AA1136" i="3"/>
  <c r="Y1136" i="3"/>
  <c r="V1136" i="3"/>
  <c r="U1136" i="3"/>
  <c r="T1136" i="3"/>
  <c r="S1136" i="3"/>
  <c r="R1136" i="3"/>
  <c r="Q1136" i="3"/>
  <c r="L1136" i="3"/>
  <c r="K1136" i="3"/>
  <c r="J1136" i="3"/>
  <c r="I1136" i="3"/>
  <c r="AS1135" i="3"/>
  <c r="AH1135" i="3"/>
  <c r="AA1135" i="3"/>
  <c r="Y1135" i="3"/>
  <c r="V1135" i="3"/>
  <c r="U1135" i="3"/>
  <c r="T1135" i="3"/>
  <c r="S1135" i="3"/>
  <c r="B1135" i="3"/>
  <c r="AS1134" i="3"/>
  <c r="AH1134" i="3"/>
  <c r="AA1134" i="3"/>
  <c r="Y1134" i="3"/>
  <c r="V1134" i="3"/>
  <c r="U1134" i="3"/>
  <c r="T1134" i="3"/>
  <c r="S1134" i="3"/>
  <c r="R1134" i="3"/>
  <c r="Q1134" i="3"/>
  <c r="L1134" i="3"/>
  <c r="K1134" i="3"/>
  <c r="J1134" i="3"/>
  <c r="I1134" i="3"/>
  <c r="AS1133" i="3"/>
  <c r="AH1133" i="3"/>
  <c r="AA1133" i="3"/>
  <c r="Y1133" i="3"/>
  <c r="V1133" i="3"/>
  <c r="U1133" i="3"/>
  <c r="T1133" i="3"/>
  <c r="S1133" i="3"/>
  <c r="B1133" i="3"/>
  <c r="AS1132" i="3"/>
  <c r="AH1132" i="3"/>
  <c r="AA1132" i="3"/>
  <c r="Y1132" i="3"/>
  <c r="V1132" i="3"/>
  <c r="U1132" i="3"/>
  <c r="T1132" i="3"/>
  <c r="S1132" i="3"/>
  <c r="B1132" i="3"/>
  <c r="AS1131" i="3"/>
  <c r="AH1131" i="3"/>
  <c r="AA1131" i="3"/>
  <c r="Y1131" i="3"/>
  <c r="V1131" i="3"/>
  <c r="U1131" i="3"/>
  <c r="T1131" i="3"/>
  <c r="S1131" i="3"/>
  <c r="R1131" i="3"/>
  <c r="Q1131" i="3"/>
  <c r="L1131" i="3"/>
  <c r="K1131" i="3"/>
  <c r="J1131" i="3"/>
  <c r="I1131" i="3"/>
  <c r="AS1130" i="3"/>
  <c r="AH1130" i="3"/>
  <c r="AA1130" i="3"/>
  <c r="Y1130" i="3"/>
  <c r="V1130" i="3"/>
  <c r="U1130" i="3"/>
  <c r="T1130" i="3"/>
  <c r="S1130" i="3"/>
  <c r="B1130" i="3"/>
  <c r="AS1129" i="3"/>
  <c r="AH1129" i="3"/>
  <c r="AA1129" i="3"/>
  <c r="Y1129" i="3"/>
  <c r="V1129" i="3"/>
  <c r="U1129" i="3"/>
  <c r="T1129" i="3"/>
  <c r="S1129" i="3"/>
  <c r="B1129" i="3"/>
  <c r="AS1128" i="3"/>
  <c r="AH1128" i="3"/>
  <c r="AG1128" i="3"/>
  <c r="AA1128" i="3"/>
  <c r="Y1128" i="3"/>
  <c r="V1128" i="3"/>
  <c r="U1128" i="3"/>
  <c r="T1128" i="3"/>
  <c r="S1128" i="3"/>
  <c r="B1128" i="3"/>
  <c r="AS1127" i="3"/>
  <c r="AH1127" i="3"/>
  <c r="AA1127" i="3"/>
  <c r="Y1127" i="3"/>
  <c r="V1127" i="3"/>
  <c r="U1127" i="3"/>
  <c r="T1127" i="3"/>
  <c r="S1127" i="3"/>
  <c r="R1127" i="3"/>
  <c r="Q1127" i="3"/>
  <c r="L1127" i="3"/>
  <c r="K1127" i="3"/>
  <c r="J1127" i="3"/>
  <c r="I1127" i="3"/>
  <c r="AS1126" i="3"/>
  <c r="AH1126" i="3"/>
  <c r="AG1126" i="3"/>
  <c r="AA1126" i="3"/>
  <c r="Y1126" i="3"/>
  <c r="V1126" i="3"/>
  <c r="U1126" i="3"/>
  <c r="T1126" i="3"/>
  <c r="S1126" i="3"/>
  <c r="B1126" i="3"/>
  <c r="AS1125" i="3"/>
  <c r="AH1125" i="3"/>
  <c r="AA1125" i="3"/>
  <c r="Y1125" i="3"/>
  <c r="V1125" i="3"/>
  <c r="U1125" i="3"/>
  <c r="T1125" i="3"/>
  <c r="S1125" i="3"/>
  <c r="B1125" i="3"/>
  <c r="AS1124" i="3"/>
  <c r="AH1124" i="3"/>
  <c r="AA1124" i="3"/>
  <c r="Y1124" i="3"/>
  <c r="V1124" i="3"/>
  <c r="U1124" i="3"/>
  <c r="T1124" i="3"/>
  <c r="S1124" i="3"/>
  <c r="R1124" i="3"/>
  <c r="Q1124" i="3"/>
  <c r="L1124" i="3"/>
  <c r="K1124" i="3"/>
  <c r="J1124" i="3"/>
  <c r="I1124" i="3"/>
  <c r="AS1123" i="3"/>
  <c r="AH1123" i="3"/>
  <c r="AA1123" i="3"/>
  <c r="Y1123" i="3"/>
  <c r="V1123" i="3"/>
  <c r="U1123" i="3"/>
  <c r="T1123" i="3"/>
  <c r="S1123" i="3"/>
  <c r="K1123" i="3"/>
  <c r="B1123" i="3"/>
  <c r="AS1122" i="3"/>
  <c r="AH1122" i="3"/>
  <c r="AA1122" i="3"/>
  <c r="Y1122" i="3"/>
  <c r="V1122" i="3"/>
  <c r="U1122" i="3"/>
  <c r="T1122" i="3"/>
  <c r="S1122" i="3"/>
  <c r="B1122" i="3"/>
  <c r="AS1121" i="3"/>
  <c r="AH1121" i="3"/>
  <c r="AA1121" i="3"/>
  <c r="Y1121" i="3"/>
  <c r="V1121" i="3"/>
  <c r="U1121" i="3"/>
  <c r="T1121" i="3"/>
  <c r="S1121" i="3"/>
  <c r="B1121" i="3"/>
  <c r="AS1120" i="3"/>
  <c r="AH1120" i="3"/>
  <c r="AA1120" i="3"/>
  <c r="Y1120" i="3"/>
  <c r="V1120" i="3"/>
  <c r="U1120" i="3"/>
  <c r="T1120" i="3"/>
  <c r="S1120" i="3"/>
  <c r="B1120" i="3"/>
  <c r="AS1119" i="3"/>
  <c r="AH1119" i="3"/>
  <c r="AA1119" i="3"/>
  <c r="Y1119" i="3"/>
  <c r="V1119" i="3"/>
  <c r="U1119" i="3"/>
  <c r="T1119" i="3"/>
  <c r="S1119" i="3"/>
  <c r="B1119" i="3"/>
  <c r="AS1118" i="3"/>
  <c r="AH1118" i="3"/>
  <c r="AA1118" i="3"/>
  <c r="Y1118" i="3"/>
  <c r="V1118" i="3"/>
  <c r="U1118" i="3"/>
  <c r="T1118" i="3"/>
  <c r="S1118" i="3"/>
  <c r="B1118" i="3"/>
  <c r="AS1117" i="3"/>
  <c r="AH1117" i="3"/>
  <c r="AA1117" i="3"/>
  <c r="Y1117" i="3"/>
  <c r="V1117" i="3"/>
  <c r="U1117" i="3"/>
  <c r="T1117" i="3"/>
  <c r="S1117" i="3"/>
  <c r="R1117" i="3"/>
  <c r="Q1117" i="3"/>
  <c r="L1117" i="3"/>
  <c r="K1117" i="3"/>
  <c r="J1117" i="3"/>
  <c r="I1117" i="3"/>
  <c r="AS1116" i="3"/>
  <c r="AH1116" i="3"/>
  <c r="AA1116" i="3"/>
  <c r="Y1116" i="3"/>
  <c r="V1116" i="3"/>
  <c r="U1116" i="3"/>
  <c r="T1116" i="3"/>
  <c r="S1116" i="3"/>
  <c r="B1116" i="3"/>
  <c r="AS1115" i="3"/>
  <c r="AH1115" i="3"/>
  <c r="AA1115" i="3"/>
  <c r="Y1115" i="3"/>
  <c r="V1115" i="3"/>
  <c r="U1115" i="3"/>
  <c r="T1115" i="3"/>
  <c r="S1115" i="3"/>
  <c r="R1115" i="3"/>
  <c r="Q1115" i="3"/>
  <c r="L1115" i="3"/>
  <c r="K1115" i="3"/>
  <c r="J1115" i="3"/>
  <c r="I1115" i="3"/>
  <c r="AS1114" i="3"/>
  <c r="AH1114" i="3"/>
  <c r="AA1114" i="3"/>
  <c r="Y1114" i="3"/>
  <c r="V1114" i="3"/>
  <c r="U1114" i="3"/>
  <c r="T1114" i="3"/>
  <c r="S1114" i="3"/>
  <c r="B1114" i="3"/>
  <c r="AS1113" i="3"/>
  <c r="AH1113" i="3"/>
  <c r="AA1113" i="3"/>
  <c r="Y1113" i="3"/>
  <c r="V1113" i="3"/>
  <c r="U1113" i="3"/>
  <c r="T1113" i="3"/>
  <c r="S1113" i="3"/>
  <c r="R1113" i="3"/>
  <c r="Q1113" i="3"/>
  <c r="L1113" i="3"/>
  <c r="K1113" i="3"/>
  <c r="J1113" i="3"/>
  <c r="I1113" i="3"/>
  <c r="AS1112" i="3"/>
  <c r="AH1112" i="3"/>
  <c r="AA1112" i="3"/>
  <c r="Y1112" i="3"/>
  <c r="V1112" i="3"/>
  <c r="U1112" i="3"/>
  <c r="T1112" i="3"/>
  <c r="S1112" i="3"/>
  <c r="B1112" i="3"/>
  <c r="AS1111" i="3"/>
  <c r="AH1111" i="3"/>
  <c r="AA1111" i="3"/>
  <c r="Y1111" i="3"/>
  <c r="V1111" i="3"/>
  <c r="U1111" i="3"/>
  <c r="T1111" i="3"/>
  <c r="S1111" i="3"/>
  <c r="R1111" i="3"/>
  <c r="Q1111" i="3"/>
  <c r="L1111" i="3"/>
  <c r="K1111" i="3"/>
  <c r="J1111" i="3"/>
  <c r="I1111" i="3"/>
  <c r="AS1110" i="3"/>
  <c r="AH1110" i="3"/>
  <c r="AA1110" i="3"/>
  <c r="Y1110" i="3"/>
  <c r="V1110" i="3"/>
  <c r="U1110" i="3"/>
  <c r="T1110" i="3"/>
  <c r="S1110" i="3"/>
  <c r="B1110" i="3"/>
  <c r="AS1109" i="3"/>
  <c r="AH1109" i="3"/>
  <c r="AA1109" i="3"/>
  <c r="Y1109" i="3"/>
  <c r="V1109" i="3"/>
  <c r="U1109" i="3"/>
  <c r="T1109" i="3"/>
  <c r="S1109" i="3"/>
  <c r="B1109" i="3"/>
  <c r="AS1108" i="3"/>
  <c r="AH1108" i="3"/>
  <c r="AA1108" i="3"/>
  <c r="Y1108" i="3"/>
  <c r="V1108" i="3"/>
  <c r="U1108" i="3"/>
  <c r="T1108" i="3"/>
  <c r="S1108" i="3"/>
  <c r="R1108" i="3"/>
  <c r="Q1108" i="3"/>
  <c r="L1108" i="3"/>
  <c r="K1108" i="3"/>
  <c r="J1108" i="3"/>
  <c r="I1108" i="3"/>
  <c r="AS1107" i="3"/>
  <c r="AH1107" i="3"/>
  <c r="AA1107" i="3"/>
  <c r="Y1107" i="3"/>
  <c r="V1107" i="3"/>
  <c r="U1107" i="3"/>
  <c r="T1107" i="3"/>
  <c r="S1107" i="3"/>
  <c r="B1107" i="3"/>
  <c r="AS1106" i="3"/>
  <c r="AH1106" i="3"/>
  <c r="AA1106" i="3"/>
  <c r="Y1106" i="3"/>
  <c r="V1106" i="3"/>
  <c r="U1106" i="3"/>
  <c r="T1106" i="3"/>
  <c r="S1106" i="3"/>
  <c r="R1106" i="3"/>
  <c r="Q1106" i="3"/>
  <c r="L1106" i="3"/>
  <c r="K1106" i="3"/>
  <c r="J1106" i="3"/>
  <c r="I1106" i="3"/>
  <c r="AS1105" i="3"/>
  <c r="AH1105" i="3"/>
  <c r="AA1105" i="3"/>
  <c r="Y1105" i="3"/>
  <c r="V1105" i="3"/>
  <c r="U1105" i="3"/>
  <c r="T1105" i="3"/>
  <c r="S1105" i="3"/>
  <c r="B1105" i="3"/>
  <c r="AS1104" i="3"/>
  <c r="AH1104" i="3"/>
  <c r="AA1104" i="3"/>
  <c r="Y1104" i="3"/>
  <c r="V1104" i="3"/>
  <c r="U1104" i="3"/>
  <c r="T1104" i="3"/>
  <c r="S1104" i="3"/>
  <c r="R1104" i="3"/>
  <c r="Q1104" i="3"/>
  <c r="L1104" i="3"/>
  <c r="K1104" i="3"/>
  <c r="J1104" i="3"/>
  <c r="I1104" i="3"/>
  <c r="AS1103" i="3"/>
  <c r="AH1103" i="3"/>
  <c r="AG1103" i="3"/>
  <c r="AA1103" i="3"/>
  <c r="Y1103" i="3"/>
  <c r="V1103" i="3"/>
  <c r="U1103" i="3"/>
  <c r="T1103" i="3"/>
  <c r="S1103" i="3"/>
  <c r="B1103" i="3"/>
  <c r="AS1102" i="3"/>
  <c r="AH1102" i="3"/>
  <c r="AA1102" i="3"/>
  <c r="Y1102" i="3"/>
  <c r="V1102" i="3"/>
  <c r="U1102" i="3"/>
  <c r="T1102" i="3"/>
  <c r="S1102" i="3"/>
  <c r="R1102" i="3"/>
  <c r="Q1102" i="3"/>
  <c r="L1102" i="3"/>
  <c r="K1102" i="3"/>
  <c r="J1102" i="3"/>
  <c r="I1102" i="3"/>
  <c r="AS1101" i="3"/>
  <c r="AH1101" i="3"/>
  <c r="AA1101" i="3"/>
  <c r="Y1101" i="3"/>
  <c r="V1101" i="3"/>
  <c r="U1101" i="3"/>
  <c r="T1101" i="3"/>
  <c r="S1101" i="3"/>
  <c r="B1101" i="3"/>
  <c r="AS1100" i="3"/>
  <c r="AH1100" i="3"/>
  <c r="AA1100" i="3"/>
  <c r="Y1100" i="3"/>
  <c r="V1100" i="3"/>
  <c r="U1100" i="3"/>
  <c r="T1100" i="3"/>
  <c r="S1100" i="3"/>
  <c r="R1100" i="3"/>
  <c r="Q1100" i="3"/>
  <c r="L1100" i="3"/>
  <c r="K1100" i="3"/>
  <c r="J1100" i="3"/>
  <c r="I1100" i="3"/>
  <c r="AS1099" i="3"/>
  <c r="AH1099" i="3"/>
  <c r="AA1099" i="3"/>
  <c r="Y1099" i="3"/>
  <c r="V1099" i="3"/>
  <c r="U1099" i="3"/>
  <c r="T1099" i="3"/>
  <c r="S1099" i="3"/>
  <c r="B1099" i="3"/>
  <c r="AS1098" i="3"/>
  <c r="AH1098" i="3"/>
  <c r="AA1098" i="3"/>
  <c r="Y1098" i="3"/>
  <c r="V1098" i="3"/>
  <c r="U1098" i="3"/>
  <c r="T1098" i="3"/>
  <c r="S1098" i="3"/>
  <c r="B1098" i="3"/>
  <c r="AS1097" i="3"/>
  <c r="AH1097" i="3"/>
  <c r="AA1097" i="3"/>
  <c r="Y1097" i="3"/>
  <c r="V1097" i="3"/>
  <c r="U1097" i="3"/>
  <c r="T1097" i="3"/>
  <c r="S1097" i="3"/>
  <c r="R1097" i="3"/>
  <c r="Q1097" i="3"/>
  <c r="L1097" i="3"/>
  <c r="K1097" i="3"/>
  <c r="J1097" i="3"/>
  <c r="I1097" i="3"/>
  <c r="AS1096" i="3"/>
  <c r="AR1096" i="3"/>
  <c r="AH1096" i="3"/>
  <c r="AA1096" i="3"/>
  <c r="Y1096" i="3"/>
  <c r="V1096" i="3"/>
  <c r="U1096" i="3"/>
  <c r="T1096" i="3"/>
  <c r="S1096" i="3"/>
  <c r="B1096" i="3"/>
  <c r="AS1095" i="3"/>
  <c r="AH1095" i="3"/>
  <c r="AG1095" i="3"/>
  <c r="AA1095" i="3"/>
  <c r="Y1095" i="3"/>
  <c r="V1095" i="3"/>
  <c r="U1095" i="3"/>
  <c r="T1095" i="3"/>
  <c r="S1095" i="3"/>
  <c r="B1095" i="3"/>
  <c r="AS1094" i="3"/>
  <c r="AH1094" i="3"/>
  <c r="AG1094" i="3"/>
  <c r="AA1094" i="3"/>
  <c r="Y1094" i="3"/>
  <c r="V1094" i="3"/>
  <c r="U1094" i="3"/>
  <c r="T1094" i="3"/>
  <c r="S1094" i="3"/>
  <c r="B1094" i="3"/>
  <c r="AS1093" i="3"/>
  <c r="AH1093" i="3"/>
  <c r="AG1093" i="3"/>
  <c r="AA1093" i="3"/>
  <c r="Y1093" i="3"/>
  <c r="V1093" i="3"/>
  <c r="U1093" i="3"/>
  <c r="T1093" i="3"/>
  <c r="S1093" i="3"/>
  <c r="B1093" i="3"/>
  <c r="AS1092" i="3"/>
  <c r="AH1092" i="3"/>
  <c r="AA1092" i="3"/>
  <c r="Y1092" i="3"/>
  <c r="V1092" i="3"/>
  <c r="U1092" i="3"/>
  <c r="T1092" i="3"/>
  <c r="S1092" i="3"/>
  <c r="B1092" i="3"/>
  <c r="AS1091" i="3"/>
  <c r="AH1091" i="3"/>
  <c r="AA1091" i="3"/>
  <c r="Y1091" i="3"/>
  <c r="V1091" i="3"/>
  <c r="U1091" i="3"/>
  <c r="T1091" i="3"/>
  <c r="S1091" i="3"/>
  <c r="B1091" i="3"/>
  <c r="AS1090" i="3"/>
  <c r="AH1090" i="3"/>
  <c r="AA1090" i="3"/>
  <c r="Y1090" i="3"/>
  <c r="V1090" i="3"/>
  <c r="U1090" i="3"/>
  <c r="T1090" i="3"/>
  <c r="S1090" i="3"/>
  <c r="B1090" i="3"/>
  <c r="AS1089" i="3"/>
  <c r="AH1089" i="3"/>
  <c r="AA1089" i="3"/>
  <c r="Y1089" i="3"/>
  <c r="V1089" i="3"/>
  <c r="U1089" i="3"/>
  <c r="T1089" i="3"/>
  <c r="S1089" i="3"/>
  <c r="R1089" i="3"/>
  <c r="Q1089" i="3"/>
  <c r="L1089" i="3"/>
  <c r="K1089" i="3"/>
  <c r="J1089" i="3"/>
  <c r="I1089" i="3"/>
  <c r="AS1088" i="3"/>
  <c r="AH1088" i="3"/>
  <c r="AA1088" i="3"/>
  <c r="Y1088" i="3"/>
  <c r="V1088" i="3"/>
  <c r="U1088" i="3"/>
  <c r="T1088" i="3"/>
  <c r="S1088" i="3"/>
  <c r="B1088" i="3"/>
  <c r="AS1087" i="3"/>
  <c r="AH1087" i="3"/>
  <c r="AA1087" i="3"/>
  <c r="Y1087" i="3"/>
  <c r="V1087" i="3"/>
  <c r="U1087" i="3"/>
  <c r="T1087" i="3"/>
  <c r="S1087" i="3"/>
  <c r="R1087" i="3"/>
  <c r="Q1087" i="3"/>
  <c r="L1087" i="3"/>
  <c r="K1087" i="3"/>
  <c r="J1087" i="3"/>
  <c r="I1087" i="3"/>
  <c r="AS1086" i="3"/>
  <c r="AH1086" i="3"/>
  <c r="AA1086" i="3"/>
  <c r="Y1086" i="3"/>
  <c r="V1086" i="3"/>
  <c r="U1086" i="3"/>
  <c r="T1086" i="3"/>
  <c r="S1086" i="3"/>
  <c r="B1086" i="3"/>
  <c r="AS1085" i="3"/>
  <c r="AH1085" i="3"/>
  <c r="AA1085" i="3"/>
  <c r="Y1085" i="3"/>
  <c r="V1085" i="3"/>
  <c r="U1085" i="3"/>
  <c r="T1085" i="3"/>
  <c r="S1085" i="3"/>
  <c r="R1085" i="3"/>
  <c r="Q1085" i="3"/>
  <c r="L1085" i="3"/>
  <c r="K1085" i="3"/>
  <c r="J1085" i="3"/>
  <c r="I1085" i="3"/>
  <c r="AS1084" i="3"/>
  <c r="AH1084" i="3"/>
  <c r="AA1084" i="3"/>
  <c r="Y1084" i="3"/>
  <c r="V1084" i="3"/>
  <c r="T1084" i="3"/>
  <c r="S1084" i="3"/>
  <c r="B1084" i="3"/>
  <c r="AS1083" i="3"/>
  <c r="AH1083" i="3"/>
  <c r="AA1083" i="3"/>
  <c r="Y1083" i="3"/>
  <c r="V1083" i="3"/>
  <c r="U1083" i="3"/>
  <c r="T1083" i="3"/>
  <c r="S1083" i="3"/>
  <c r="B1083" i="3"/>
  <c r="AS1082" i="3"/>
  <c r="AH1082" i="3"/>
  <c r="AA1082" i="3"/>
  <c r="Y1082" i="3"/>
  <c r="V1082" i="3"/>
  <c r="U1082" i="3"/>
  <c r="T1082" i="3"/>
  <c r="S1082" i="3"/>
  <c r="R1082" i="3"/>
  <c r="Q1082" i="3"/>
  <c r="L1082" i="3"/>
  <c r="K1082" i="3"/>
  <c r="J1082" i="3"/>
  <c r="I1082" i="3"/>
  <c r="AS1081" i="3"/>
  <c r="AH1081" i="3"/>
  <c r="AG1081" i="3"/>
  <c r="AA1081" i="3"/>
  <c r="Y1081" i="3"/>
  <c r="V1081" i="3"/>
  <c r="U1081" i="3"/>
  <c r="T1081" i="3"/>
  <c r="S1081" i="3"/>
  <c r="B1081" i="3"/>
  <c r="AS1080" i="3"/>
  <c r="AH1080" i="3"/>
  <c r="AA1080" i="3"/>
  <c r="Y1080" i="3"/>
  <c r="V1080" i="3"/>
  <c r="U1080" i="3"/>
  <c r="T1080" i="3"/>
  <c r="S1080" i="3"/>
  <c r="R1080" i="3"/>
  <c r="Q1080" i="3"/>
  <c r="L1080" i="3"/>
  <c r="K1080" i="3"/>
  <c r="J1080" i="3"/>
  <c r="I1080" i="3"/>
  <c r="AS1079" i="3"/>
  <c r="AH1079" i="3"/>
  <c r="AA1079" i="3"/>
  <c r="Y1079" i="3"/>
  <c r="V1079" i="3"/>
  <c r="U1079" i="3"/>
  <c r="T1079" i="3"/>
  <c r="S1079" i="3"/>
  <c r="B1079" i="3"/>
  <c r="AS1078" i="3"/>
  <c r="AH1078" i="3"/>
  <c r="AA1078" i="3"/>
  <c r="Y1078" i="3"/>
  <c r="V1078" i="3"/>
  <c r="U1078" i="3"/>
  <c r="T1078" i="3"/>
  <c r="S1078" i="3"/>
  <c r="R1078" i="3"/>
  <c r="Q1078" i="3"/>
  <c r="L1078" i="3"/>
  <c r="K1078" i="3"/>
  <c r="J1078" i="3"/>
  <c r="I1078" i="3"/>
  <c r="AS1077" i="3"/>
  <c r="AH1077" i="3"/>
  <c r="AA1077" i="3"/>
  <c r="Y1077" i="3"/>
  <c r="V1077" i="3"/>
  <c r="U1077" i="3"/>
  <c r="T1077" i="3"/>
  <c r="S1077" i="3"/>
  <c r="B1077" i="3"/>
  <c r="AS1076" i="3"/>
  <c r="AH1076" i="3"/>
  <c r="AA1076" i="3"/>
  <c r="Y1076" i="3"/>
  <c r="V1076" i="3"/>
  <c r="U1076" i="3"/>
  <c r="T1076" i="3"/>
  <c r="S1076" i="3"/>
  <c r="B1076" i="3"/>
  <c r="AS1075" i="3"/>
  <c r="AH1075" i="3"/>
  <c r="AA1075" i="3"/>
  <c r="Y1075" i="3"/>
  <c r="V1075" i="3"/>
  <c r="U1075" i="3"/>
  <c r="T1075" i="3"/>
  <c r="S1075" i="3"/>
  <c r="R1075" i="3"/>
  <c r="Q1075" i="3"/>
  <c r="L1075" i="3"/>
  <c r="K1075" i="3"/>
  <c r="J1075" i="3"/>
  <c r="I1075" i="3"/>
  <c r="AS1074" i="3"/>
  <c r="AH1074" i="3"/>
  <c r="AG1074" i="3"/>
  <c r="AA1074" i="3"/>
  <c r="Y1074" i="3"/>
  <c r="V1074" i="3"/>
  <c r="U1074" i="3"/>
  <c r="T1074" i="3"/>
  <c r="S1074" i="3"/>
  <c r="B1074" i="3"/>
  <c r="AS1073" i="3"/>
  <c r="AH1073" i="3"/>
  <c r="AA1073" i="3"/>
  <c r="Y1073" i="3"/>
  <c r="V1073" i="3"/>
  <c r="T1073" i="3"/>
  <c r="S1073" i="3"/>
  <c r="B1073" i="3"/>
  <c r="AS1072" i="3"/>
  <c r="AH1072" i="3"/>
  <c r="AA1072" i="3"/>
  <c r="Y1072" i="3"/>
  <c r="V1072" i="3"/>
  <c r="U1072" i="3"/>
  <c r="T1072" i="3"/>
  <c r="S1072" i="3"/>
  <c r="R1072" i="3"/>
  <c r="Q1072" i="3"/>
  <c r="L1072" i="3"/>
  <c r="K1072" i="3"/>
  <c r="J1072" i="3"/>
  <c r="I1072" i="3"/>
  <c r="AS1071" i="3"/>
  <c r="AH1071" i="3"/>
  <c r="AA1071" i="3"/>
  <c r="Y1071" i="3"/>
  <c r="V1071" i="3"/>
  <c r="U1071" i="3"/>
  <c r="T1071" i="3"/>
  <c r="S1071" i="3"/>
  <c r="B1071" i="3"/>
  <c r="AS1070" i="3"/>
  <c r="AH1070" i="3"/>
  <c r="AA1070" i="3"/>
  <c r="Y1070" i="3"/>
  <c r="V1070" i="3"/>
  <c r="U1070" i="3"/>
  <c r="T1070" i="3"/>
  <c r="S1070" i="3"/>
  <c r="B1070" i="3"/>
  <c r="AS1069" i="3"/>
  <c r="AH1069" i="3"/>
  <c r="AA1069" i="3"/>
  <c r="Y1069" i="3"/>
  <c r="V1069" i="3"/>
  <c r="U1069" i="3"/>
  <c r="T1069" i="3"/>
  <c r="S1069" i="3"/>
  <c r="B1069" i="3"/>
  <c r="AS1068" i="3"/>
  <c r="AH1068" i="3"/>
  <c r="AA1068" i="3"/>
  <c r="Y1068" i="3"/>
  <c r="V1068" i="3"/>
  <c r="U1068" i="3"/>
  <c r="T1068" i="3"/>
  <c r="S1068" i="3"/>
  <c r="R1068" i="3"/>
  <c r="Q1068" i="3"/>
  <c r="L1068" i="3"/>
  <c r="K1068" i="3"/>
  <c r="J1068" i="3"/>
  <c r="I1068" i="3"/>
  <c r="AS1067" i="3"/>
  <c r="AH1067" i="3"/>
  <c r="AA1067" i="3"/>
  <c r="Y1067" i="3"/>
  <c r="V1067" i="3"/>
  <c r="U1067" i="3"/>
  <c r="T1067" i="3"/>
  <c r="S1067" i="3"/>
  <c r="B1067" i="3"/>
  <c r="AS1066" i="3"/>
  <c r="AH1066" i="3"/>
  <c r="AA1066" i="3"/>
  <c r="Y1066" i="3"/>
  <c r="V1066" i="3"/>
  <c r="U1066" i="3"/>
  <c r="T1066" i="3"/>
  <c r="S1066" i="3"/>
  <c r="B1066" i="3"/>
  <c r="AS1065" i="3"/>
  <c r="AH1065" i="3"/>
  <c r="AA1065" i="3"/>
  <c r="Y1065" i="3"/>
  <c r="V1065" i="3"/>
  <c r="U1065" i="3"/>
  <c r="T1065" i="3"/>
  <c r="S1065" i="3"/>
  <c r="B1065" i="3"/>
  <c r="AS1064" i="3"/>
  <c r="AH1064" i="3"/>
  <c r="AA1064" i="3"/>
  <c r="Y1064" i="3"/>
  <c r="V1064" i="3"/>
  <c r="T1064" i="3"/>
  <c r="S1064" i="3"/>
  <c r="B1064" i="3"/>
  <c r="AS1063" i="3"/>
  <c r="AH1063" i="3"/>
  <c r="AA1063" i="3"/>
  <c r="Y1063" i="3"/>
  <c r="V1063" i="3"/>
  <c r="U1063" i="3"/>
  <c r="T1063" i="3"/>
  <c r="S1063" i="3"/>
  <c r="B1063" i="3"/>
  <c r="AS1062" i="3"/>
  <c r="AH1062" i="3"/>
  <c r="AG1062" i="3"/>
  <c r="AA1062" i="3"/>
  <c r="Y1062" i="3"/>
  <c r="V1062" i="3"/>
  <c r="U1062" i="3"/>
  <c r="T1062" i="3"/>
  <c r="S1062" i="3"/>
  <c r="B1062" i="3"/>
  <c r="AS1061" i="3"/>
  <c r="AH1061" i="3"/>
  <c r="AA1061" i="3"/>
  <c r="Y1061" i="3"/>
  <c r="V1061" i="3"/>
  <c r="U1061" i="3"/>
  <c r="T1061" i="3"/>
  <c r="S1061" i="3"/>
  <c r="B1061" i="3"/>
  <c r="AS1060" i="3"/>
  <c r="AH1060" i="3"/>
  <c r="AA1060" i="3"/>
  <c r="Y1060" i="3"/>
  <c r="V1060" i="3"/>
  <c r="U1060" i="3"/>
  <c r="T1060" i="3"/>
  <c r="S1060" i="3"/>
  <c r="B1060" i="3"/>
  <c r="AS1059" i="3"/>
  <c r="AH1059" i="3"/>
  <c r="AA1059" i="3"/>
  <c r="Y1059" i="3"/>
  <c r="V1059" i="3"/>
  <c r="U1059" i="3"/>
  <c r="T1059" i="3"/>
  <c r="S1059" i="3"/>
  <c r="R1059" i="3"/>
  <c r="Q1059" i="3"/>
  <c r="L1059" i="3"/>
  <c r="K1059" i="3"/>
  <c r="J1059" i="3"/>
  <c r="I1059" i="3"/>
  <c r="AS1058" i="3"/>
  <c r="AH1058" i="3"/>
  <c r="AG1058" i="3"/>
  <c r="AA1058" i="3"/>
  <c r="Y1058" i="3"/>
  <c r="V1058" i="3"/>
  <c r="U1058" i="3"/>
  <c r="T1058" i="3"/>
  <c r="S1058" i="3"/>
  <c r="B1058" i="3"/>
  <c r="AS1057" i="3"/>
  <c r="AH1057" i="3"/>
  <c r="AA1057" i="3"/>
  <c r="Y1057" i="3"/>
  <c r="V1057" i="3"/>
  <c r="T1057" i="3"/>
  <c r="S1057" i="3"/>
  <c r="B1057" i="3"/>
  <c r="AS1056" i="3"/>
  <c r="AH1056" i="3"/>
  <c r="AA1056" i="3"/>
  <c r="Y1056" i="3"/>
  <c r="V1056" i="3"/>
  <c r="U1056" i="3"/>
  <c r="T1056" i="3"/>
  <c r="S1056" i="3"/>
  <c r="R1056" i="3"/>
  <c r="Q1056" i="3"/>
  <c r="L1056" i="3"/>
  <c r="K1056" i="3"/>
  <c r="J1056" i="3"/>
  <c r="I1056" i="3"/>
  <c r="AS1055" i="3"/>
  <c r="AH1055" i="3"/>
  <c r="AA1055" i="3"/>
  <c r="Y1055" i="3"/>
  <c r="V1055" i="3"/>
  <c r="U1055" i="3"/>
  <c r="T1055" i="3"/>
  <c r="S1055" i="3"/>
  <c r="B1055" i="3"/>
  <c r="AS1054" i="3"/>
  <c r="AH1054" i="3"/>
  <c r="AG1054" i="3"/>
  <c r="AA1054" i="3"/>
  <c r="Y1054" i="3"/>
  <c r="V1054" i="3"/>
  <c r="U1054" i="3"/>
  <c r="T1054" i="3"/>
  <c r="S1054" i="3"/>
  <c r="B1054" i="3"/>
  <c r="AS1053" i="3"/>
  <c r="AH1053" i="3"/>
  <c r="AA1053" i="3"/>
  <c r="Y1053" i="3"/>
  <c r="V1053" i="3"/>
  <c r="U1053" i="3"/>
  <c r="T1053" i="3"/>
  <c r="S1053" i="3"/>
  <c r="B1053" i="3"/>
  <c r="AS1052" i="3"/>
  <c r="AH1052" i="3"/>
  <c r="AG1052" i="3"/>
  <c r="AA1052" i="3"/>
  <c r="Y1052" i="3"/>
  <c r="V1052" i="3"/>
  <c r="U1052" i="3"/>
  <c r="T1052" i="3"/>
  <c r="S1052" i="3"/>
  <c r="B1052" i="3"/>
  <c r="AS1051" i="3"/>
  <c r="AH1051" i="3"/>
  <c r="AA1051" i="3"/>
  <c r="Y1051" i="3"/>
  <c r="V1051" i="3"/>
  <c r="U1051" i="3"/>
  <c r="T1051" i="3"/>
  <c r="S1051" i="3"/>
  <c r="B1051" i="3"/>
  <c r="AS1050" i="3"/>
  <c r="AH1050" i="3"/>
  <c r="AA1050" i="3"/>
  <c r="Y1050" i="3"/>
  <c r="V1050" i="3"/>
  <c r="U1050" i="3"/>
  <c r="T1050" i="3"/>
  <c r="S1050" i="3"/>
  <c r="B1050" i="3"/>
  <c r="AS1049" i="3"/>
  <c r="AH1049" i="3"/>
  <c r="AA1049" i="3"/>
  <c r="Y1049" i="3"/>
  <c r="V1049" i="3"/>
  <c r="U1049" i="3"/>
  <c r="T1049" i="3"/>
  <c r="S1049" i="3"/>
  <c r="B1049" i="3"/>
  <c r="AS1048" i="3"/>
  <c r="AR1048" i="3"/>
  <c r="AH1048" i="3"/>
  <c r="AA1048" i="3"/>
  <c r="Y1048" i="3"/>
  <c r="V1048" i="3"/>
  <c r="U1048" i="3"/>
  <c r="T1048" i="3"/>
  <c r="S1048" i="3"/>
  <c r="B1048" i="3"/>
  <c r="AS1047" i="3"/>
  <c r="AH1047" i="3"/>
  <c r="AA1047" i="3"/>
  <c r="Y1047" i="3"/>
  <c r="V1047" i="3"/>
  <c r="U1047" i="3"/>
  <c r="T1047" i="3"/>
  <c r="S1047" i="3"/>
  <c r="B1047" i="3"/>
  <c r="AS1046" i="3"/>
  <c r="AH1046" i="3"/>
  <c r="AA1046" i="3"/>
  <c r="Y1046" i="3"/>
  <c r="V1046" i="3"/>
  <c r="U1046" i="3"/>
  <c r="T1046" i="3"/>
  <c r="S1046" i="3"/>
  <c r="B1046" i="3"/>
  <c r="AS1045" i="3"/>
  <c r="AH1045" i="3"/>
  <c r="AA1045" i="3"/>
  <c r="Y1045" i="3"/>
  <c r="V1045" i="3"/>
  <c r="U1045" i="3"/>
  <c r="T1045" i="3"/>
  <c r="S1045" i="3"/>
  <c r="B1045" i="3"/>
  <c r="AS1044" i="3"/>
  <c r="AH1044" i="3"/>
  <c r="AA1044" i="3"/>
  <c r="Y1044" i="3"/>
  <c r="V1044" i="3"/>
  <c r="U1044" i="3"/>
  <c r="T1044" i="3"/>
  <c r="S1044" i="3"/>
  <c r="R1044" i="3"/>
  <c r="Q1044" i="3"/>
  <c r="L1044" i="3"/>
  <c r="K1044" i="3"/>
  <c r="J1044" i="3"/>
  <c r="I1044" i="3"/>
  <c r="AS1043" i="3"/>
  <c r="AR1043" i="3"/>
  <c r="AH1043" i="3"/>
  <c r="AA1043" i="3"/>
  <c r="Y1043" i="3"/>
  <c r="V1043" i="3"/>
  <c r="U1043" i="3"/>
  <c r="T1043" i="3"/>
  <c r="S1043" i="3"/>
  <c r="B1043" i="3"/>
  <c r="AS1042" i="3"/>
  <c r="AH1042" i="3"/>
  <c r="AA1042" i="3"/>
  <c r="Y1042" i="3"/>
  <c r="V1042" i="3"/>
  <c r="U1042" i="3"/>
  <c r="T1042" i="3"/>
  <c r="S1042" i="3"/>
  <c r="B1042" i="3"/>
  <c r="AS1041" i="3"/>
  <c r="AH1041" i="3"/>
  <c r="AA1041" i="3"/>
  <c r="Y1041" i="3"/>
  <c r="V1041" i="3"/>
  <c r="U1041" i="3"/>
  <c r="T1041" i="3"/>
  <c r="S1041" i="3"/>
  <c r="B1041" i="3"/>
  <c r="AS1040" i="3"/>
  <c r="AH1040" i="3"/>
  <c r="AA1040" i="3"/>
  <c r="Y1040" i="3"/>
  <c r="V1040" i="3"/>
  <c r="U1040" i="3"/>
  <c r="T1040" i="3"/>
  <c r="S1040" i="3"/>
  <c r="B1040" i="3"/>
  <c r="AS1039" i="3"/>
  <c r="AR1039" i="3"/>
  <c r="AH1039" i="3"/>
  <c r="AA1039" i="3"/>
  <c r="Y1039" i="3"/>
  <c r="V1039" i="3"/>
  <c r="U1039" i="3"/>
  <c r="T1039" i="3"/>
  <c r="S1039" i="3"/>
  <c r="B1039" i="3"/>
  <c r="AS1038" i="3"/>
  <c r="AH1038" i="3"/>
  <c r="AA1038" i="3"/>
  <c r="Y1038" i="3"/>
  <c r="V1038" i="3"/>
  <c r="U1038" i="3"/>
  <c r="T1038" i="3"/>
  <c r="S1038" i="3"/>
  <c r="B1038" i="3"/>
  <c r="AS1037" i="3"/>
  <c r="AH1037" i="3"/>
  <c r="AA1037" i="3"/>
  <c r="Y1037" i="3"/>
  <c r="V1037" i="3"/>
  <c r="U1037" i="3"/>
  <c r="T1037" i="3"/>
  <c r="S1037" i="3"/>
  <c r="B1037" i="3"/>
  <c r="AS1036" i="3"/>
  <c r="AH1036" i="3"/>
  <c r="AA1036" i="3"/>
  <c r="Y1036" i="3"/>
  <c r="V1036" i="3"/>
  <c r="U1036" i="3"/>
  <c r="T1036" i="3"/>
  <c r="S1036" i="3"/>
  <c r="B1036" i="3"/>
  <c r="AS1035" i="3"/>
  <c r="AH1035" i="3"/>
  <c r="AA1035" i="3"/>
  <c r="Y1035" i="3"/>
  <c r="V1035" i="3"/>
  <c r="U1035" i="3"/>
  <c r="T1035" i="3"/>
  <c r="S1035" i="3"/>
  <c r="B1035" i="3"/>
  <c r="AS1034" i="3"/>
  <c r="AH1034" i="3"/>
  <c r="AA1034" i="3"/>
  <c r="Y1034" i="3"/>
  <c r="V1034" i="3"/>
  <c r="U1034" i="3"/>
  <c r="T1034" i="3"/>
  <c r="S1034" i="3"/>
  <c r="B1034" i="3"/>
  <c r="AS1033" i="3"/>
  <c r="AH1033" i="3"/>
  <c r="AA1033" i="3"/>
  <c r="Y1033" i="3"/>
  <c r="V1033" i="3"/>
  <c r="U1033" i="3"/>
  <c r="T1033" i="3"/>
  <c r="S1033" i="3"/>
  <c r="B1033" i="3"/>
  <c r="AS1032" i="3"/>
  <c r="AH1032" i="3"/>
  <c r="AA1032" i="3"/>
  <c r="Y1032" i="3"/>
  <c r="V1032" i="3"/>
  <c r="U1032" i="3"/>
  <c r="T1032" i="3"/>
  <c r="S1032" i="3"/>
  <c r="B1032" i="3"/>
  <c r="AS1031" i="3"/>
  <c r="AH1031" i="3"/>
  <c r="AA1031" i="3"/>
  <c r="Y1031" i="3"/>
  <c r="V1031" i="3"/>
  <c r="U1031" i="3"/>
  <c r="T1031" i="3"/>
  <c r="S1031" i="3"/>
  <c r="B1031" i="3"/>
  <c r="AS1030" i="3"/>
  <c r="AR1030" i="3"/>
  <c r="AH1030" i="3"/>
  <c r="AA1030" i="3"/>
  <c r="Y1030" i="3"/>
  <c r="V1030" i="3"/>
  <c r="U1030" i="3"/>
  <c r="T1030" i="3"/>
  <c r="S1030" i="3"/>
  <c r="B1030" i="3"/>
  <c r="AS1029" i="3"/>
  <c r="AH1029" i="3"/>
  <c r="AA1029" i="3"/>
  <c r="Y1029" i="3"/>
  <c r="V1029" i="3"/>
  <c r="U1029" i="3"/>
  <c r="T1029" i="3"/>
  <c r="S1029" i="3"/>
  <c r="B1029" i="3"/>
  <c r="AS1028" i="3"/>
  <c r="AH1028" i="3"/>
  <c r="AA1028" i="3"/>
  <c r="Y1028" i="3"/>
  <c r="V1028" i="3"/>
  <c r="T1028" i="3"/>
  <c r="S1028" i="3"/>
  <c r="B1028" i="3"/>
  <c r="AS1027" i="3"/>
  <c r="AH1027" i="3"/>
  <c r="AA1027" i="3"/>
  <c r="Y1027" i="3"/>
  <c r="V1027" i="3"/>
  <c r="T1027" i="3"/>
  <c r="S1027" i="3"/>
  <c r="B1027" i="3"/>
  <c r="AS1026" i="3"/>
  <c r="AH1026" i="3"/>
  <c r="AA1026" i="3"/>
  <c r="Y1026" i="3"/>
  <c r="V1026" i="3"/>
  <c r="T1026" i="3"/>
  <c r="S1026" i="3"/>
  <c r="B1026" i="3"/>
  <c r="AS1025" i="3"/>
  <c r="AH1025" i="3"/>
  <c r="AA1025" i="3"/>
  <c r="Y1025" i="3"/>
  <c r="V1025" i="3"/>
  <c r="U1025" i="3"/>
  <c r="T1025" i="3"/>
  <c r="S1025" i="3"/>
  <c r="B1025" i="3"/>
  <c r="AS1024" i="3"/>
  <c r="AH1024" i="3"/>
  <c r="AA1024" i="3"/>
  <c r="Y1024" i="3"/>
  <c r="V1024" i="3"/>
  <c r="U1024" i="3"/>
  <c r="T1024" i="3"/>
  <c r="S1024" i="3"/>
  <c r="B1024" i="3"/>
  <c r="AS1023" i="3"/>
  <c r="AH1023" i="3"/>
  <c r="AA1023" i="3"/>
  <c r="Y1023" i="3"/>
  <c r="V1023" i="3"/>
  <c r="U1023" i="3"/>
  <c r="T1023" i="3"/>
  <c r="S1023" i="3"/>
  <c r="B1023" i="3"/>
  <c r="AS1022" i="3"/>
  <c r="AH1022" i="3"/>
  <c r="AA1022" i="3"/>
  <c r="Y1022" i="3"/>
  <c r="V1022" i="3"/>
  <c r="U1022" i="3"/>
  <c r="T1022" i="3"/>
  <c r="S1022" i="3"/>
  <c r="B1022" i="3"/>
  <c r="AS1021" i="3"/>
  <c r="AH1021" i="3"/>
  <c r="AA1021" i="3"/>
  <c r="Y1021" i="3"/>
  <c r="V1021" i="3"/>
  <c r="U1021" i="3"/>
  <c r="T1021" i="3"/>
  <c r="S1021" i="3"/>
  <c r="B1021" i="3"/>
  <c r="AS1020" i="3"/>
  <c r="AH1020" i="3"/>
  <c r="AG1020" i="3"/>
  <c r="AA1020" i="3"/>
  <c r="Y1020" i="3"/>
  <c r="V1020" i="3"/>
  <c r="U1020" i="3"/>
  <c r="T1020" i="3"/>
  <c r="S1020" i="3"/>
  <c r="B1020" i="3"/>
  <c r="AS1019" i="3"/>
  <c r="AH1019" i="3"/>
  <c r="AA1019" i="3"/>
  <c r="Y1019" i="3"/>
  <c r="V1019" i="3"/>
  <c r="U1019" i="3"/>
  <c r="T1019" i="3"/>
  <c r="S1019" i="3"/>
  <c r="B1019" i="3"/>
  <c r="AS1018" i="3"/>
  <c r="AH1018" i="3"/>
  <c r="AA1018" i="3"/>
  <c r="Y1018" i="3"/>
  <c r="V1018" i="3"/>
  <c r="U1018" i="3"/>
  <c r="T1018" i="3"/>
  <c r="S1018" i="3"/>
  <c r="B1018" i="3"/>
  <c r="AS1017" i="3"/>
  <c r="AH1017" i="3"/>
  <c r="AA1017" i="3"/>
  <c r="Y1017" i="3"/>
  <c r="V1017" i="3"/>
  <c r="U1017" i="3"/>
  <c r="T1017" i="3"/>
  <c r="S1017" i="3"/>
  <c r="B1017" i="3"/>
  <c r="AS1016" i="3"/>
  <c r="AH1016" i="3"/>
  <c r="AA1016" i="3"/>
  <c r="Y1016" i="3"/>
  <c r="V1016" i="3"/>
  <c r="U1016" i="3"/>
  <c r="T1016" i="3"/>
  <c r="S1016" i="3"/>
  <c r="R1016" i="3"/>
  <c r="Q1016" i="3"/>
  <c r="L1016" i="3"/>
  <c r="K1016" i="3"/>
  <c r="J1016" i="3"/>
  <c r="I1016" i="3"/>
  <c r="AS1015" i="3"/>
  <c r="AH1015" i="3"/>
  <c r="AA1015" i="3"/>
  <c r="Y1015" i="3"/>
  <c r="V1015" i="3"/>
  <c r="U1015" i="3"/>
  <c r="T1015" i="3"/>
  <c r="S1015" i="3"/>
  <c r="K1015" i="3"/>
  <c r="B1015" i="3"/>
  <c r="AS1014" i="3"/>
  <c r="AH1014" i="3"/>
  <c r="AA1014" i="3"/>
  <c r="Y1014" i="3"/>
  <c r="V1014" i="3"/>
  <c r="U1014" i="3"/>
  <c r="T1014" i="3"/>
  <c r="S1014" i="3"/>
  <c r="B1014" i="3"/>
  <c r="AS1013" i="3"/>
  <c r="AH1013" i="3"/>
  <c r="AA1013" i="3"/>
  <c r="Y1013" i="3"/>
  <c r="V1013" i="3"/>
  <c r="U1013" i="3"/>
  <c r="T1013" i="3"/>
  <c r="S1013" i="3"/>
  <c r="B1013" i="3"/>
  <c r="AS1012" i="3"/>
  <c r="AH1012" i="3"/>
  <c r="AA1012" i="3"/>
  <c r="Y1012" i="3"/>
  <c r="V1012" i="3"/>
  <c r="U1012" i="3"/>
  <c r="T1012" i="3"/>
  <c r="S1012" i="3"/>
  <c r="B1012" i="3"/>
  <c r="AS1011" i="3"/>
  <c r="AH1011" i="3"/>
  <c r="AA1011" i="3"/>
  <c r="Y1011" i="3"/>
  <c r="V1011" i="3"/>
  <c r="U1011" i="3"/>
  <c r="T1011" i="3"/>
  <c r="S1011" i="3"/>
  <c r="B1011" i="3"/>
  <c r="AS1010" i="3"/>
  <c r="AH1010" i="3"/>
  <c r="AA1010" i="3"/>
  <c r="Y1010" i="3"/>
  <c r="V1010" i="3"/>
  <c r="U1010" i="3"/>
  <c r="T1010" i="3"/>
  <c r="S1010" i="3"/>
  <c r="B1010" i="3"/>
  <c r="AS1009" i="3"/>
  <c r="AH1009" i="3"/>
  <c r="AA1009" i="3"/>
  <c r="Y1009" i="3"/>
  <c r="V1009" i="3"/>
  <c r="U1009" i="3"/>
  <c r="T1009" i="3"/>
  <c r="S1009" i="3"/>
  <c r="B1009" i="3"/>
  <c r="AS1008" i="3"/>
  <c r="AH1008" i="3"/>
  <c r="AA1008" i="3"/>
  <c r="Y1008" i="3"/>
  <c r="V1008" i="3"/>
  <c r="U1008" i="3"/>
  <c r="T1008" i="3"/>
  <c r="S1008" i="3"/>
  <c r="B1008" i="3"/>
  <c r="AS1007" i="3"/>
  <c r="AH1007" i="3"/>
  <c r="AA1007" i="3"/>
  <c r="Y1007" i="3"/>
  <c r="V1007" i="3"/>
  <c r="T1007" i="3"/>
  <c r="S1007" i="3"/>
  <c r="B1007" i="3"/>
  <c r="AS1006" i="3"/>
  <c r="AH1006" i="3"/>
  <c r="AA1006" i="3"/>
  <c r="Y1006" i="3"/>
  <c r="V1006" i="3"/>
  <c r="U1006" i="3"/>
  <c r="T1006" i="3"/>
  <c r="S1006" i="3"/>
  <c r="B1006" i="3"/>
  <c r="AS1005" i="3"/>
  <c r="AH1005" i="3"/>
  <c r="AA1005" i="3"/>
  <c r="Y1005" i="3"/>
  <c r="V1005" i="3"/>
  <c r="U1005" i="3"/>
  <c r="T1005" i="3"/>
  <c r="S1005" i="3"/>
  <c r="B1005" i="3"/>
  <c r="AS1004" i="3"/>
  <c r="AH1004" i="3"/>
  <c r="AA1004" i="3"/>
  <c r="Y1004" i="3"/>
  <c r="V1004" i="3"/>
  <c r="U1004" i="3"/>
  <c r="T1004" i="3"/>
  <c r="S1004" i="3"/>
  <c r="B1004" i="3"/>
  <c r="AS1003" i="3"/>
  <c r="AH1003" i="3"/>
  <c r="AA1003" i="3"/>
  <c r="Y1003" i="3"/>
  <c r="V1003" i="3"/>
  <c r="U1003" i="3"/>
  <c r="T1003" i="3"/>
  <c r="S1003" i="3"/>
  <c r="B1003" i="3"/>
  <c r="AS1002" i="3"/>
  <c r="AH1002" i="3"/>
  <c r="AA1002" i="3"/>
  <c r="Y1002" i="3"/>
  <c r="V1002" i="3"/>
  <c r="U1002" i="3"/>
  <c r="T1002" i="3"/>
  <c r="S1002" i="3"/>
  <c r="B1002" i="3"/>
  <c r="AS1001" i="3"/>
  <c r="AH1001" i="3"/>
  <c r="AA1001" i="3"/>
  <c r="Y1001" i="3"/>
  <c r="V1001" i="3"/>
  <c r="U1001" i="3"/>
  <c r="T1001" i="3"/>
  <c r="S1001" i="3"/>
  <c r="R1001" i="3"/>
  <c r="Q1001" i="3"/>
  <c r="L1001" i="3"/>
  <c r="K1001" i="3"/>
  <c r="J1001" i="3"/>
  <c r="I1001" i="3"/>
  <c r="AS1000" i="3"/>
  <c r="AR1000" i="3"/>
  <c r="AH1000" i="3"/>
  <c r="AA1000" i="3"/>
  <c r="Y1000" i="3"/>
  <c r="V1000" i="3"/>
  <c r="U1000" i="3"/>
  <c r="T1000" i="3"/>
  <c r="S1000" i="3"/>
  <c r="B1000" i="3"/>
  <c r="AS999" i="3"/>
  <c r="AR999" i="3"/>
  <c r="AH999" i="3"/>
  <c r="AA999" i="3"/>
  <c r="Y999" i="3"/>
  <c r="V999" i="3"/>
  <c r="U999" i="3"/>
  <c r="T999" i="3"/>
  <c r="S999" i="3"/>
  <c r="B999" i="3"/>
  <c r="AS998" i="3"/>
  <c r="AH998" i="3"/>
  <c r="AA998" i="3"/>
  <c r="Y998" i="3"/>
  <c r="V998" i="3"/>
  <c r="U998" i="3"/>
  <c r="T998" i="3"/>
  <c r="S998" i="3"/>
  <c r="B998" i="3"/>
  <c r="AS997" i="3"/>
  <c r="AH997" i="3"/>
  <c r="AA997" i="3"/>
  <c r="Y997" i="3"/>
  <c r="V997" i="3"/>
  <c r="U997" i="3"/>
  <c r="T997" i="3"/>
  <c r="S997" i="3"/>
  <c r="B997" i="3"/>
  <c r="AS996" i="3"/>
  <c r="AH996" i="3"/>
  <c r="AA996" i="3"/>
  <c r="Y996" i="3"/>
  <c r="V996" i="3"/>
  <c r="U996" i="3"/>
  <c r="T996" i="3"/>
  <c r="S996" i="3"/>
  <c r="B996" i="3"/>
  <c r="AS995" i="3"/>
  <c r="AH995" i="3"/>
  <c r="AA995" i="3"/>
  <c r="Y995" i="3"/>
  <c r="V995" i="3"/>
  <c r="U995" i="3"/>
  <c r="T995" i="3"/>
  <c r="S995" i="3"/>
  <c r="B995" i="3"/>
  <c r="AS994" i="3"/>
  <c r="AH994" i="3"/>
  <c r="AA994" i="3"/>
  <c r="Y994" i="3"/>
  <c r="V994" i="3"/>
  <c r="U994" i="3"/>
  <c r="T994" i="3"/>
  <c r="S994" i="3"/>
  <c r="B994" i="3"/>
  <c r="AS993" i="3"/>
  <c r="AH993" i="3"/>
  <c r="AA993" i="3"/>
  <c r="Y993" i="3"/>
  <c r="V993" i="3"/>
  <c r="U993" i="3"/>
  <c r="T993" i="3"/>
  <c r="S993" i="3"/>
  <c r="B993" i="3"/>
  <c r="AS992" i="3"/>
  <c r="AH992" i="3"/>
  <c r="AA992" i="3"/>
  <c r="Y992" i="3"/>
  <c r="V992" i="3"/>
  <c r="U992" i="3"/>
  <c r="T992" i="3"/>
  <c r="S992" i="3"/>
  <c r="B992" i="3"/>
  <c r="AS991" i="3"/>
  <c r="AH991" i="3"/>
  <c r="AA991" i="3"/>
  <c r="Y991" i="3"/>
  <c r="V991" i="3"/>
  <c r="U991" i="3"/>
  <c r="T991" i="3"/>
  <c r="S991" i="3"/>
  <c r="B991" i="3"/>
  <c r="AS990" i="3"/>
  <c r="AH990" i="3"/>
  <c r="AA990" i="3"/>
  <c r="Y990" i="3"/>
  <c r="V990" i="3"/>
  <c r="U990" i="3"/>
  <c r="T990" i="3"/>
  <c r="S990" i="3"/>
  <c r="B990" i="3"/>
  <c r="AS989" i="3"/>
  <c r="AH989" i="3"/>
  <c r="AA989" i="3"/>
  <c r="Y989" i="3"/>
  <c r="V989" i="3"/>
  <c r="U989" i="3"/>
  <c r="T989" i="3"/>
  <c r="S989" i="3"/>
  <c r="B989" i="3"/>
  <c r="AS988" i="3"/>
  <c r="AH988" i="3"/>
  <c r="AA988" i="3"/>
  <c r="Y988" i="3"/>
  <c r="V988" i="3"/>
  <c r="U988" i="3"/>
  <c r="T988" i="3"/>
  <c r="S988" i="3"/>
  <c r="B988" i="3"/>
  <c r="AS987" i="3"/>
  <c r="AH987" i="3"/>
  <c r="AA987" i="3"/>
  <c r="Y987" i="3"/>
  <c r="V987" i="3"/>
  <c r="U987" i="3"/>
  <c r="T987" i="3"/>
  <c r="S987" i="3"/>
  <c r="B987" i="3"/>
  <c r="AS986" i="3"/>
  <c r="AH986" i="3"/>
  <c r="AA986" i="3"/>
  <c r="Y986" i="3"/>
  <c r="V986" i="3"/>
  <c r="U986" i="3"/>
  <c r="T986" i="3"/>
  <c r="S986" i="3"/>
  <c r="B986" i="3"/>
  <c r="AS985" i="3"/>
  <c r="AH985" i="3"/>
  <c r="AA985" i="3"/>
  <c r="Y985" i="3"/>
  <c r="V985" i="3"/>
  <c r="U985" i="3"/>
  <c r="T985" i="3"/>
  <c r="S985" i="3"/>
  <c r="B985" i="3"/>
  <c r="AS984" i="3"/>
  <c r="AH984" i="3"/>
  <c r="AA984" i="3"/>
  <c r="Y984" i="3"/>
  <c r="V984" i="3"/>
  <c r="U984" i="3"/>
  <c r="T984" i="3"/>
  <c r="S984" i="3"/>
  <c r="B984" i="3"/>
  <c r="AS983" i="3"/>
  <c r="AH983" i="3"/>
  <c r="AA983" i="3"/>
  <c r="Y983" i="3"/>
  <c r="V983" i="3"/>
  <c r="U983" i="3"/>
  <c r="T983" i="3"/>
  <c r="S983" i="3"/>
  <c r="B983" i="3"/>
  <c r="AS982" i="3"/>
  <c r="AH982" i="3"/>
  <c r="AA982" i="3"/>
  <c r="Y982" i="3"/>
  <c r="V982" i="3"/>
  <c r="U982" i="3"/>
  <c r="T982" i="3"/>
  <c r="S982" i="3"/>
  <c r="B982" i="3"/>
  <c r="AS981" i="3"/>
  <c r="AH981" i="3"/>
  <c r="AA981" i="3"/>
  <c r="Y981" i="3"/>
  <c r="V981" i="3"/>
  <c r="U981" i="3"/>
  <c r="T981" i="3"/>
  <c r="S981" i="3"/>
  <c r="B981" i="3"/>
  <c r="AS980" i="3"/>
  <c r="AH980" i="3"/>
  <c r="AA980" i="3"/>
  <c r="Y980" i="3"/>
  <c r="V980" i="3"/>
  <c r="U980" i="3"/>
  <c r="T980" i="3"/>
  <c r="S980" i="3"/>
  <c r="B980" i="3"/>
  <c r="AS979" i="3"/>
  <c r="AH979" i="3"/>
  <c r="AA979" i="3"/>
  <c r="Y979" i="3"/>
  <c r="V979" i="3"/>
  <c r="U979" i="3"/>
  <c r="T979" i="3"/>
  <c r="S979" i="3"/>
  <c r="B979" i="3"/>
  <c r="AS978" i="3"/>
  <c r="AH978" i="3"/>
  <c r="AA978" i="3"/>
  <c r="Y978" i="3"/>
  <c r="V978" i="3"/>
  <c r="U978" i="3"/>
  <c r="T978" i="3"/>
  <c r="S978" i="3"/>
  <c r="B978" i="3"/>
  <c r="AS977" i="3"/>
  <c r="AH977" i="3"/>
  <c r="AG977" i="3"/>
  <c r="AA977" i="3"/>
  <c r="Y977" i="3"/>
  <c r="V977" i="3"/>
  <c r="U977" i="3"/>
  <c r="T977" i="3"/>
  <c r="S977" i="3"/>
  <c r="B977" i="3"/>
  <c r="AS976" i="3"/>
  <c r="AH976" i="3"/>
  <c r="AA976" i="3"/>
  <c r="Y976" i="3"/>
  <c r="V976" i="3"/>
  <c r="U976" i="3"/>
  <c r="T976" i="3"/>
  <c r="S976" i="3"/>
  <c r="B976" i="3"/>
  <c r="AS975" i="3"/>
  <c r="AH975" i="3"/>
  <c r="AA975" i="3"/>
  <c r="Y975" i="3"/>
  <c r="V975" i="3"/>
  <c r="U975" i="3"/>
  <c r="T975" i="3"/>
  <c r="S975" i="3"/>
  <c r="B975" i="3"/>
  <c r="AS974" i="3"/>
  <c r="AH974" i="3"/>
  <c r="AG974" i="3"/>
  <c r="AA974" i="3"/>
  <c r="Y974" i="3"/>
  <c r="V974" i="3"/>
  <c r="U974" i="3"/>
  <c r="T974" i="3"/>
  <c r="S974" i="3"/>
  <c r="B974" i="3"/>
  <c r="AS973" i="3"/>
  <c r="AH973" i="3"/>
  <c r="AA973" i="3"/>
  <c r="Y973" i="3"/>
  <c r="V973" i="3"/>
  <c r="U973" i="3"/>
  <c r="T973" i="3"/>
  <c r="S973" i="3"/>
  <c r="B973" i="3"/>
  <c r="AS972" i="3"/>
  <c r="AH972" i="3"/>
  <c r="AA972" i="3"/>
  <c r="Y972" i="3"/>
  <c r="V972" i="3"/>
  <c r="U972" i="3"/>
  <c r="T972" i="3"/>
  <c r="S972" i="3"/>
  <c r="B972" i="3"/>
  <c r="AS971" i="3"/>
  <c r="AH971" i="3"/>
  <c r="AA971" i="3"/>
  <c r="Y971" i="3"/>
  <c r="V971" i="3"/>
  <c r="U971" i="3"/>
  <c r="T971" i="3"/>
  <c r="S971" i="3"/>
  <c r="B971" i="3"/>
  <c r="AS970" i="3"/>
  <c r="AH970" i="3"/>
  <c r="AA970" i="3"/>
  <c r="Y970" i="3"/>
  <c r="V970" i="3"/>
  <c r="U970" i="3"/>
  <c r="T970" i="3"/>
  <c r="S970" i="3"/>
  <c r="B970" i="3"/>
  <c r="AS969" i="3"/>
  <c r="AH969" i="3"/>
  <c r="AA969" i="3"/>
  <c r="Y969" i="3"/>
  <c r="V969" i="3"/>
  <c r="U969" i="3"/>
  <c r="T969" i="3"/>
  <c r="S969" i="3"/>
  <c r="B969" i="3"/>
  <c r="AS968" i="3"/>
  <c r="AH968" i="3"/>
  <c r="AA968" i="3"/>
  <c r="Y968" i="3"/>
  <c r="V968" i="3"/>
  <c r="U968" i="3"/>
  <c r="T968" i="3"/>
  <c r="S968" i="3"/>
  <c r="B968" i="3"/>
  <c r="AS967" i="3"/>
  <c r="AR967" i="3"/>
  <c r="AH967" i="3"/>
  <c r="AA967" i="3"/>
  <c r="Y967" i="3"/>
  <c r="V967" i="3"/>
  <c r="U967" i="3"/>
  <c r="T967" i="3"/>
  <c r="S967" i="3"/>
  <c r="B967" i="3"/>
  <c r="AS966" i="3"/>
  <c r="AH966" i="3"/>
  <c r="AA966" i="3"/>
  <c r="Y966" i="3"/>
  <c r="V966" i="3"/>
  <c r="U966" i="3"/>
  <c r="T966" i="3"/>
  <c r="S966" i="3"/>
  <c r="B966" i="3"/>
  <c r="AS965" i="3"/>
  <c r="AH965" i="3"/>
  <c r="AA965" i="3"/>
  <c r="Y965" i="3"/>
  <c r="V965" i="3"/>
  <c r="U965" i="3"/>
  <c r="T965" i="3"/>
  <c r="S965" i="3"/>
  <c r="B965" i="3"/>
  <c r="AS964" i="3"/>
  <c r="AH964" i="3"/>
  <c r="AA964" i="3"/>
  <c r="Y964" i="3"/>
  <c r="V964" i="3"/>
  <c r="U964" i="3"/>
  <c r="T964" i="3"/>
  <c r="S964" i="3"/>
  <c r="B964" i="3"/>
  <c r="AS963" i="3"/>
  <c r="AH963" i="3"/>
  <c r="AA963" i="3"/>
  <c r="Y963" i="3"/>
  <c r="V963" i="3"/>
  <c r="U963" i="3"/>
  <c r="T963" i="3"/>
  <c r="S963" i="3"/>
  <c r="B963" i="3"/>
  <c r="AS962" i="3"/>
  <c r="AH962" i="3"/>
  <c r="AA962" i="3"/>
  <c r="Y962" i="3"/>
  <c r="V962" i="3"/>
  <c r="U962" i="3"/>
  <c r="T962" i="3"/>
  <c r="S962" i="3"/>
  <c r="B962" i="3"/>
  <c r="AS961" i="3"/>
  <c r="AH961" i="3"/>
  <c r="AA961" i="3"/>
  <c r="Y961" i="3"/>
  <c r="V961" i="3"/>
  <c r="U961" i="3"/>
  <c r="T961" i="3"/>
  <c r="S961" i="3"/>
  <c r="B961" i="3"/>
  <c r="AS960" i="3"/>
  <c r="AH960" i="3"/>
  <c r="AA960" i="3"/>
  <c r="Y960" i="3"/>
  <c r="V960" i="3"/>
  <c r="U960" i="3"/>
  <c r="T960" i="3"/>
  <c r="S960" i="3"/>
  <c r="B960" i="3"/>
  <c r="AS959" i="3"/>
  <c r="AH959" i="3"/>
  <c r="AA959" i="3"/>
  <c r="Y959" i="3"/>
  <c r="V959" i="3"/>
  <c r="U959" i="3"/>
  <c r="T959" i="3"/>
  <c r="S959" i="3"/>
  <c r="B959" i="3"/>
  <c r="AS958" i="3"/>
  <c r="AH958" i="3"/>
  <c r="AA958" i="3"/>
  <c r="Y958" i="3"/>
  <c r="V958" i="3"/>
  <c r="U958" i="3"/>
  <c r="T958" i="3"/>
  <c r="S958" i="3"/>
  <c r="B958" i="3"/>
  <c r="AS957" i="3"/>
  <c r="AH957" i="3"/>
  <c r="AA957" i="3"/>
  <c r="Y957" i="3"/>
  <c r="V957" i="3"/>
  <c r="U957" i="3"/>
  <c r="T957" i="3"/>
  <c r="S957" i="3"/>
  <c r="B957" i="3"/>
  <c r="AS956" i="3"/>
  <c r="AH956" i="3"/>
  <c r="AA956" i="3"/>
  <c r="Y956" i="3"/>
  <c r="V956" i="3"/>
  <c r="U956" i="3"/>
  <c r="T956" i="3"/>
  <c r="S956" i="3"/>
  <c r="B956" i="3"/>
  <c r="AS955" i="3"/>
  <c r="AH955" i="3"/>
  <c r="AA955" i="3"/>
  <c r="Y955" i="3"/>
  <c r="V955" i="3"/>
  <c r="U955" i="3"/>
  <c r="T955" i="3"/>
  <c r="S955" i="3"/>
  <c r="B955" i="3"/>
  <c r="AS954" i="3"/>
  <c r="AH954" i="3"/>
  <c r="AA954" i="3"/>
  <c r="Y954" i="3"/>
  <c r="V954" i="3"/>
  <c r="U954" i="3"/>
  <c r="T954" i="3"/>
  <c r="S954" i="3"/>
  <c r="B954" i="3"/>
  <c r="AS953" i="3"/>
  <c r="AH953" i="3"/>
  <c r="AA953" i="3"/>
  <c r="Y953" i="3"/>
  <c r="V953" i="3"/>
  <c r="U953" i="3"/>
  <c r="T953" i="3"/>
  <c r="S953" i="3"/>
  <c r="B953" i="3"/>
  <c r="AS952" i="3"/>
  <c r="AH952" i="3"/>
  <c r="AA952" i="3"/>
  <c r="Y952" i="3"/>
  <c r="V952" i="3"/>
  <c r="U952" i="3"/>
  <c r="T952" i="3"/>
  <c r="S952" i="3"/>
  <c r="B952" i="3"/>
  <c r="AS951" i="3"/>
  <c r="AH951" i="3"/>
  <c r="AA951" i="3"/>
  <c r="Y951" i="3"/>
  <c r="V951" i="3"/>
  <c r="U951" i="3"/>
  <c r="T951" i="3"/>
  <c r="S951" i="3"/>
  <c r="B951" i="3"/>
  <c r="AS950" i="3"/>
  <c r="AH950" i="3"/>
  <c r="AA950" i="3"/>
  <c r="Y950" i="3"/>
  <c r="V950" i="3"/>
  <c r="U950" i="3"/>
  <c r="T950" i="3"/>
  <c r="S950" i="3"/>
  <c r="B950" i="3"/>
  <c r="AS949" i="3"/>
  <c r="AH949" i="3"/>
  <c r="AA949" i="3"/>
  <c r="Y949" i="3"/>
  <c r="V949" i="3"/>
  <c r="U949" i="3"/>
  <c r="T949" i="3"/>
  <c r="S949" i="3"/>
  <c r="B949" i="3"/>
  <c r="AS948" i="3"/>
  <c r="AH948" i="3"/>
  <c r="AA948" i="3"/>
  <c r="Y948" i="3"/>
  <c r="V948" i="3"/>
  <c r="U948" i="3"/>
  <c r="T948" i="3"/>
  <c r="S948" i="3"/>
  <c r="B948" i="3"/>
  <c r="AS947" i="3"/>
  <c r="AH947" i="3"/>
  <c r="AA947" i="3"/>
  <c r="Y947" i="3"/>
  <c r="V947" i="3"/>
  <c r="U947" i="3"/>
  <c r="T947" i="3"/>
  <c r="S947" i="3"/>
  <c r="B947" i="3"/>
  <c r="AS946" i="3"/>
  <c r="AH946" i="3"/>
  <c r="AA946" i="3"/>
  <c r="Y946" i="3"/>
  <c r="V946" i="3"/>
  <c r="U946" i="3"/>
  <c r="T946" i="3"/>
  <c r="S946" i="3"/>
  <c r="B946" i="3"/>
  <c r="AS945" i="3"/>
  <c r="AH945" i="3"/>
  <c r="AA945" i="3"/>
  <c r="Y945" i="3"/>
  <c r="V945" i="3"/>
  <c r="U945" i="3"/>
  <c r="T945" i="3"/>
  <c r="S945" i="3"/>
  <c r="B945" i="3"/>
  <c r="AS944" i="3"/>
  <c r="AH944" i="3"/>
  <c r="AA944" i="3"/>
  <c r="Y944" i="3"/>
  <c r="V944" i="3"/>
  <c r="U944" i="3"/>
  <c r="T944" i="3"/>
  <c r="S944" i="3"/>
  <c r="B944" i="3"/>
  <c r="AS943" i="3"/>
  <c r="AH943" i="3"/>
  <c r="AA943" i="3"/>
  <c r="Y943" i="3"/>
  <c r="V943" i="3"/>
  <c r="U943" i="3"/>
  <c r="T943" i="3"/>
  <c r="S943" i="3"/>
  <c r="B943" i="3"/>
  <c r="AS942" i="3"/>
  <c r="AH942" i="3"/>
  <c r="AA942" i="3"/>
  <c r="Y942" i="3"/>
  <c r="V942" i="3"/>
  <c r="U942" i="3"/>
  <c r="T942" i="3"/>
  <c r="S942" i="3"/>
  <c r="B942" i="3"/>
  <c r="AS941" i="3"/>
  <c r="AH941" i="3"/>
  <c r="AA941" i="3"/>
  <c r="Y941" i="3"/>
  <c r="V941" i="3"/>
  <c r="U941" i="3"/>
  <c r="T941" i="3"/>
  <c r="S941" i="3"/>
  <c r="R941" i="3"/>
  <c r="Q941" i="3"/>
  <c r="L941" i="3"/>
  <c r="K941" i="3"/>
  <c r="J941" i="3"/>
  <c r="I941" i="3"/>
  <c r="AS940" i="3"/>
  <c r="AH940" i="3"/>
  <c r="AA940" i="3"/>
  <c r="Y940" i="3"/>
  <c r="V940" i="3"/>
  <c r="U940" i="3"/>
  <c r="T940" i="3"/>
  <c r="S940" i="3"/>
  <c r="R940" i="3"/>
  <c r="Q940" i="3"/>
  <c r="L940" i="3"/>
  <c r="K940" i="3"/>
  <c r="J940" i="3"/>
  <c r="I940" i="3"/>
  <c r="AS939" i="3"/>
  <c r="AH939" i="3"/>
  <c r="AA939" i="3"/>
  <c r="Y939" i="3"/>
  <c r="V939" i="3"/>
  <c r="U939" i="3"/>
  <c r="T939" i="3"/>
  <c r="S939" i="3"/>
  <c r="B939" i="3"/>
  <c r="AS938" i="3"/>
  <c r="AH938" i="3"/>
  <c r="AA938" i="3"/>
  <c r="Y938" i="3"/>
  <c r="V938" i="3"/>
  <c r="U938" i="3"/>
  <c r="T938" i="3"/>
  <c r="S938" i="3"/>
  <c r="R938" i="3"/>
  <c r="Q938" i="3"/>
  <c r="L938" i="3"/>
  <c r="K938" i="3"/>
  <c r="J938" i="3"/>
  <c r="I938" i="3"/>
  <c r="AS937" i="3"/>
  <c r="AH937" i="3"/>
  <c r="AA937" i="3"/>
  <c r="Y937" i="3"/>
  <c r="V937" i="3"/>
  <c r="U937" i="3"/>
  <c r="T937" i="3"/>
  <c r="S937" i="3"/>
  <c r="B937" i="3"/>
  <c r="AS936" i="3"/>
  <c r="AH936" i="3"/>
  <c r="AA936" i="3"/>
  <c r="Y936" i="3"/>
  <c r="V936" i="3"/>
  <c r="U936" i="3"/>
  <c r="T936" i="3"/>
  <c r="S936" i="3"/>
  <c r="R936" i="3"/>
  <c r="Q936" i="3"/>
  <c r="L936" i="3"/>
  <c r="K936" i="3"/>
  <c r="J936" i="3"/>
  <c r="I936" i="3"/>
  <c r="AS935" i="3"/>
  <c r="AH935" i="3"/>
  <c r="AA935" i="3"/>
  <c r="Y935" i="3"/>
  <c r="V935" i="3"/>
  <c r="U935" i="3"/>
  <c r="T935" i="3"/>
  <c r="S935" i="3"/>
  <c r="B935" i="3"/>
  <c r="AS934" i="3"/>
  <c r="AH934" i="3"/>
  <c r="AA934" i="3"/>
  <c r="Y934" i="3"/>
  <c r="V934" i="3"/>
  <c r="U934" i="3"/>
  <c r="T934" i="3"/>
  <c r="S934" i="3"/>
  <c r="B934" i="3"/>
  <c r="AS933" i="3"/>
  <c r="AH933" i="3"/>
  <c r="AA933" i="3"/>
  <c r="Y933" i="3"/>
  <c r="V933" i="3"/>
  <c r="U933" i="3"/>
  <c r="T933" i="3"/>
  <c r="S933" i="3"/>
  <c r="R933" i="3"/>
  <c r="Q933" i="3"/>
  <c r="L933" i="3"/>
  <c r="K933" i="3"/>
  <c r="J933" i="3"/>
  <c r="I933" i="3"/>
  <c r="AS932" i="3"/>
  <c r="AH932" i="3"/>
  <c r="AA932" i="3"/>
  <c r="Y932" i="3"/>
  <c r="V932" i="3"/>
  <c r="U932" i="3"/>
  <c r="T932" i="3"/>
  <c r="S932" i="3"/>
  <c r="B932" i="3"/>
  <c r="AS931" i="3"/>
  <c r="AH931" i="3"/>
  <c r="AA931" i="3"/>
  <c r="Y931" i="3"/>
  <c r="V931" i="3"/>
  <c r="U931" i="3"/>
  <c r="T931" i="3"/>
  <c r="S931" i="3"/>
  <c r="R931" i="3"/>
  <c r="Q931" i="3"/>
  <c r="L931" i="3"/>
  <c r="K931" i="3"/>
  <c r="J931" i="3"/>
  <c r="I931" i="3"/>
  <c r="AS930" i="3"/>
  <c r="AH930" i="3"/>
  <c r="AG930" i="3"/>
  <c r="AA930" i="3"/>
  <c r="Y930" i="3"/>
  <c r="V930" i="3"/>
  <c r="U930" i="3"/>
  <c r="T930" i="3"/>
  <c r="S930" i="3"/>
  <c r="B930" i="3"/>
  <c r="AS929" i="3"/>
  <c r="AH929" i="3"/>
  <c r="AA929" i="3"/>
  <c r="Y929" i="3"/>
  <c r="V929" i="3"/>
  <c r="U929" i="3"/>
  <c r="T929" i="3"/>
  <c r="S929" i="3"/>
  <c r="B929" i="3"/>
  <c r="AS928" i="3"/>
  <c r="AH928" i="3"/>
  <c r="AA928" i="3"/>
  <c r="Y928" i="3"/>
  <c r="V928" i="3"/>
  <c r="U928" i="3"/>
  <c r="T928" i="3"/>
  <c r="S928" i="3"/>
  <c r="B928" i="3"/>
  <c r="AS927" i="3"/>
  <c r="AH927" i="3"/>
  <c r="AA927" i="3"/>
  <c r="Y927" i="3"/>
  <c r="V927" i="3"/>
  <c r="U927" i="3"/>
  <c r="T927" i="3"/>
  <c r="S927" i="3"/>
  <c r="R927" i="3"/>
  <c r="Q927" i="3"/>
  <c r="L927" i="3"/>
  <c r="K927" i="3"/>
  <c r="J927" i="3"/>
  <c r="I927" i="3"/>
  <c r="AS926" i="3"/>
  <c r="AH926" i="3"/>
  <c r="AA926" i="3"/>
  <c r="Y926" i="3"/>
  <c r="V926" i="3"/>
  <c r="U926" i="3"/>
  <c r="T926" i="3"/>
  <c r="S926" i="3"/>
  <c r="B926" i="3"/>
  <c r="AS925" i="3"/>
  <c r="AH925" i="3"/>
  <c r="AA925" i="3"/>
  <c r="Y925" i="3"/>
  <c r="V925" i="3"/>
  <c r="U925" i="3"/>
  <c r="T925" i="3"/>
  <c r="S925" i="3"/>
  <c r="R925" i="3"/>
  <c r="Q925" i="3"/>
  <c r="L925" i="3"/>
  <c r="K925" i="3"/>
  <c r="J925" i="3"/>
  <c r="I925" i="3"/>
  <c r="AS924" i="3"/>
  <c r="AH924" i="3"/>
  <c r="AA924" i="3"/>
  <c r="Y924" i="3"/>
  <c r="V924" i="3"/>
  <c r="U924" i="3"/>
  <c r="T924" i="3"/>
  <c r="S924" i="3"/>
  <c r="B924" i="3"/>
  <c r="AS923" i="3"/>
  <c r="AH923" i="3"/>
  <c r="AA923" i="3"/>
  <c r="Y923" i="3"/>
  <c r="V923" i="3"/>
  <c r="U923" i="3"/>
  <c r="T923" i="3"/>
  <c r="S923" i="3"/>
  <c r="R923" i="3"/>
  <c r="Q923" i="3"/>
  <c r="L923" i="3"/>
  <c r="K923" i="3"/>
  <c r="J923" i="3"/>
  <c r="I923" i="3"/>
  <c r="AS922" i="3"/>
  <c r="AH922" i="3"/>
  <c r="AA922" i="3"/>
  <c r="Y922" i="3"/>
  <c r="V922" i="3"/>
  <c r="U922" i="3"/>
  <c r="T922" i="3"/>
  <c r="S922" i="3"/>
  <c r="B922" i="3"/>
  <c r="AS921" i="3"/>
  <c r="AH921" i="3"/>
  <c r="AA921" i="3"/>
  <c r="Y921" i="3"/>
  <c r="V921" i="3"/>
  <c r="U921" i="3"/>
  <c r="T921" i="3"/>
  <c r="S921" i="3"/>
  <c r="R921" i="3"/>
  <c r="Q921" i="3"/>
  <c r="L921" i="3"/>
  <c r="K921" i="3"/>
  <c r="J921" i="3"/>
  <c r="I921" i="3"/>
  <c r="AS920" i="3"/>
  <c r="AH920" i="3"/>
  <c r="AA920" i="3"/>
  <c r="Y920" i="3"/>
  <c r="V920" i="3"/>
  <c r="U920" i="3"/>
  <c r="T920" i="3"/>
  <c r="S920" i="3"/>
  <c r="B920" i="3"/>
  <c r="AS919" i="3"/>
  <c r="AH919" i="3"/>
  <c r="AA919" i="3"/>
  <c r="Y919" i="3"/>
  <c r="V919" i="3"/>
  <c r="U919" i="3"/>
  <c r="T919" i="3"/>
  <c r="S919" i="3"/>
  <c r="B919" i="3"/>
  <c r="AS918" i="3"/>
  <c r="AH918" i="3"/>
  <c r="AA918" i="3"/>
  <c r="Y918" i="3"/>
  <c r="V918" i="3"/>
  <c r="U918" i="3"/>
  <c r="T918" i="3"/>
  <c r="S918" i="3"/>
  <c r="R918" i="3"/>
  <c r="Q918" i="3"/>
  <c r="L918" i="3"/>
  <c r="K918" i="3"/>
  <c r="J918" i="3"/>
  <c r="I918" i="3"/>
  <c r="AS917" i="3"/>
  <c r="AH917" i="3"/>
  <c r="AA917" i="3"/>
  <c r="Y917" i="3"/>
  <c r="V917" i="3"/>
  <c r="T917" i="3"/>
  <c r="S917" i="3"/>
  <c r="B917" i="3"/>
  <c r="AS916" i="3"/>
  <c r="AH916" i="3"/>
  <c r="AA916" i="3"/>
  <c r="Y916" i="3"/>
  <c r="V916" i="3"/>
  <c r="U916" i="3"/>
  <c r="T916" i="3"/>
  <c r="S916" i="3"/>
  <c r="B916" i="3"/>
  <c r="AS915" i="3"/>
  <c r="AH915" i="3"/>
  <c r="AA915" i="3"/>
  <c r="Y915" i="3"/>
  <c r="V915" i="3"/>
  <c r="U915" i="3"/>
  <c r="T915" i="3"/>
  <c r="S915" i="3"/>
  <c r="B915" i="3"/>
  <c r="AS914" i="3"/>
  <c r="AH914" i="3"/>
  <c r="AA914" i="3"/>
  <c r="Y914" i="3"/>
  <c r="V914" i="3"/>
  <c r="U914" i="3"/>
  <c r="T914" i="3"/>
  <c r="S914" i="3"/>
  <c r="R914" i="3"/>
  <c r="Q914" i="3"/>
  <c r="L914" i="3"/>
  <c r="K914" i="3"/>
  <c r="J914" i="3"/>
  <c r="I914" i="3"/>
  <c r="AS913" i="3"/>
  <c r="AH913" i="3"/>
  <c r="AA913" i="3"/>
  <c r="Y913" i="3"/>
  <c r="V913" i="3"/>
  <c r="U913" i="3"/>
  <c r="T913" i="3"/>
  <c r="S913" i="3"/>
  <c r="B913" i="3"/>
  <c r="AS912" i="3"/>
  <c r="AH912" i="3"/>
  <c r="AA912" i="3"/>
  <c r="Y912" i="3"/>
  <c r="V912" i="3"/>
  <c r="U912" i="3"/>
  <c r="T912" i="3"/>
  <c r="S912" i="3"/>
  <c r="R912" i="3"/>
  <c r="Q912" i="3"/>
  <c r="L912" i="3"/>
  <c r="K912" i="3"/>
  <c r="J912" i="3"/>
  <c r="I912" i="3"/>
  <c r="AS911" i="3"/>
  <c r="AH911" i="3"/>
  <c r="AA911" i="3"/>
  <c r="Y911" i="3"/>
  <c r="V911" i="3"/>
  <c r="U911" i="3"/>
  <c r="T911" i="3"/>
  <c r="S911" i="3"/>
  <c r="B911" i="3"/>
  <c r="AS910" i="3"/>
  <c r="AH910" i="3"/>
  <c r="AA910" i="3"/>
  <c r="Y910" i="3"/>
  <c r="V910" i="3"/>
  <c r="U910" i="3"/>
  <c r="T910" i="3"/>
  <c r="S910" i="3"/>
  <c r="R910" i="3"/>
  <c r="Q910" i="3"/>
  <c r="L910" i="3"/>
  <c r="K910" i="3"/>
  <c r="J910" i="3"/>
  <c r="I910" i="3"/>
  <c r="AS909" i="3"/>
  <c r="AH909" i="3"/>
  <c r="AA909" i="3"/>
  <c r="Y909" i="3"/>
  <c r="V909" i="3"/>
  <c r="U909" i="3"/>
  <c r="T909" i="3"/>
  <c r="S909" i="3"/>
  <c r="B909" i="3"/>
  <c r="AS908" i="3"/>
  <c r="AH908" i="3"/>
  <c r="AA908" i="3"/>
  <c r="Y908" i="3"/>
  <c r="V908" i="3"/>
  <c r="U908" i="3"/>
  <c r="T908" i="3"/>
  <c r="S908" i="3"/>
  <c r="R908" i="3"/>
  <c r="Q908" i="3"/>
  <c r="L908" i="3"/>
  <c r="K908" i="3"/>
  <c r="J908" i="3"/>
  <c r="I908" i="3"/>
  <c r="AS907" i="3"/>
  <c r="AH907" i="3"/>
  <c r="AA907" i="3"/>
  <c r="Y907" i="3"/>
  <c r="V907" i="3"/>
  <c r="U907" i="3"/>
  <c r="T907" i="3"/>
  <c r="S907" i="3"/>
  <c r="B907" i="3"/>
  <c r="AS906" i="3"/>
  <c r="AH906" i="3"/>
  <c r="AA906" i="3"/>
  <c r="Y906" i="3"/>
  <c r="V906" i="3"/>
  <c r="U906" i="3"/>
  <c r="T906" i="3"/>
  <c r="S906" i="3"/>
  <c r="R906" i="3"/>
  <c r="Q906" i="3"/>
  <c r="L906" i="3"/>
  <c r="K906" i="3"/>
  <c r="J906" i="3"/>
  <c r="I906" i="3"/>
  <c r="AS905" i="3"/>
  <c r="AH905" i="3"/>
  <c r="AA905" i="3"/>
  <c r="Y905" i="3"/>
  <c r="V905" i="3"/>
  <c r="U905" i="3"/>
  <c r="T905" i="3"/>
  <c r="S905" i="3"/>
  <c r="B905" i="3"/>
  <c r="AS904" i="3"/>
  <c r="AH904" i="3"/>
  <c r="AA904" i="3"/>
  <c r="Y904" i="3"/>
  <c r="V904" i="3"/>
  <c r="U904" i="3"/>
  <c r="T904" i="3"/>
  <c r="S904" i="3"/>
  <c r="R904" i="3"/>
  <c r="Q904" i="3"/>
  <c r="L904" i="3"/>
  <c r="K904" i="3"/>
  <c r="J904" i="3"/>
  <c r="I904" i="3"/>
  <c r="AS903" i="3"/>
  <c r="AH903" i="3"/>
  <c r="AA903" i="3"/>
  <c r="Y903" i="3"/>
  <c r="V903" i="3"/>
  <c r="U903" i="3"/>
  <c r="T903" i="3"/>
  <c r="S903" i="3"/>
  <c r="B903" i="3"/>
  <c r="AS902" i="3"/>
  <c r="AH902" i="3"/>
  <c r="AA902" i="3"/>
  <c r="Y902" i="3"/>
  <c r="V902" i="3"/>
  <c r="U902" i="3"/>
  <c r="T902" i="3"/>
  <c r="S902" i="3"/>
  <c r="B902" i="3"/>
  <c r="AS901" i="3"/>
  <c r="AH901" i="3"/>
  <c r="AA901" i="3"/>
  <c r="Y901" i="3"/>
  <c r="V901" i="3"/>
  <c r="U901" i="3"/>
  <c r="T901" i="3"/>
  <c r="S901" i="3"/>
  <c r="R901" i="3"/>
  <c r="Q901" i="3"/>
  <c r="L901" i="3"/>
  <c r="K901" i="3"/>
  <c r="J901" i="3"/>
  <c r="I901" i="3"/>
  <c r="AS900" i="3"/>
  <c r="AH900" i="3"/>
  <c r="AA900" i="3"/>
  <c r="Y900" i="3"/>
  <c r="V900" i="3"/>
  <c r="U900" i="3"/>
  <c r="T900" i="3"/>
  <c r="S900" i="3"/>
  <c r="B900" i="3"/>
  <c r="AS899" i="3"/>
  <c r="AH899" i="3"/>
  <c r="AA899" i="3"/>
  <c r="Y899" i="3"/>
  <c r="V899" i="3"/>
  <c r="U899" i="3"/>
  <c r="T899" i="3"/>
  <c r="S899" i="3"/>
  <c r="B899" i="3"/>
  <c r="AS898" i="3"/>
  <c r="AH898" i="3"/>
  <c r="AA898" i="3"/>
  <c r="Y898" i="3"/>
  <c r="V898" i="3"/>
  <c r="U898" i="3"/>
  <c r="T898" i="3"/>
  <c r="S898" i="3"/>
  <c r="B898" i="3"/>
  <c r="AS897" i="3"/>
  <c r="AH897" i="3"/>
  <c r="AA897" i="3"/>
  <c r="Y897" i="3"/>
  <c r="V897" i="3"/>
  <c r="U897" i="3"/>
  <c r="T897" i="3"/>
  <c r="S897" i="3"/>
  <c r="B897" i="3"/>
  <c r="AS896" i="3"/>
  <c r="AH896" i="3"/>
  <c r="AA896" i="3"/>
  <c r="Y896" i="3"/>
  <c r="V896" i="3"/>
  <c r="U896" i="3"/>
  <c r="T896" i="3"/>
  <c r="S896" i="3"/>
  <c r="B896" i="3"/>
  <c r="AS895" i="3"/>
  <c r="AH895" i="3"/>
  <c r="AA895" i="3"/>
  <c r="Y895" i="3"/>
  <c r="V895" i="3"/>
  <c r="U895" i="3"/>
  <c r="T895" i="3"/>
  <c r="S895" i="3"/>
  <c r="R895" i="3"/>
  <c r="Q895" i="3"/>
  <c r="L895" i="3"/>
  <c r="K895" i="3"/>
  <c r="J895" i="3"/>
  <c r="I895" i="3"/>
  <c r="AS894" i="3"/>
  <c r="AH894" i="3"/>
  <c r="AA894" i="3"/>
  <c r="Y894" i="3"/>
  <c r="V894" i="3"/>
  <c r="U894" i="3"/>
  <c r="T894" i="3"/>
  <c r="S894" i="3"/>
  <c r="B894" i="3"/>
  <c r="AS893" i="3"/>
  <c r="AH893" i="3"/>
  <c r="AA893" i="3"/>
  <c r="Y893" i="3"/>
  <c r="V893" i="3"/>
  <c r="U893" i="3"/>
  <c r="T893" i="3"/>
  <c r="S893" i="3"/>
  <c r="R893" i="3"/>
  <c r="Q893" i="3"/>
  <c r="L893" i="3"/>
  <c r="K893" i="3"/>
  <c r="J893" i="3"/>
  <c r="I893" i="3"/>
  <c r="AS892" i="3"/>
  <c r="AH892" i="3"/>
  <c r="AA892" i="3"/>
  <c r="Y892" i="3"/>
  <c r="V892" i="3"/>
  <c r="U892" i="3"/>
  <c r="T892" i="3"/>
  <c r="S892" i="3"/>
  <c r="B892" i="3"/>
  <c r="AS891" i="3"/>
  <c r="AH891" i="3"/>
  <c r="AA891" i="3"/>
  <c r="Y891" i="3"/>
  <c r="V891" i="3"/>
  <c r="U891" i="3"/>
  <c r="T891" i="3"/>
  <c r="S891" i="3"/>
  <c r="R891" i="3"/>
  <c r="Q891" i="3"/>
  <c r="L891" i="3"/>
  <c r="K891" i="3"/>
  <c r="J891" i="3"/>
  <c r="I891" i="3"/>
  <c r="AS890" i="3"/>
  <c r="AH890" i="3"/>
  <c r="AA890" i="3"/>
  <c r="Y890" i="3"/>
  <c r="V890" i="3"/>
  <c r="U890" i="3"/>
  <c r="T890" i="3"/>
  <c r="S890" i="3"/>
  <c r="K890" i="3"/>
  <c r="B890" i="3"/>
  <c r="AS889" i="3"/>
  <c r="AH889" i="3"/>
  <c r="AA889" i="3"/>
  <c r="Y889" i="3"/>
  <c r="V889" i="3"/>
  <c r="U889" i="3"/>
  <c r="T889" i="3"/>
  <c r="S889" i="3"/>
  <c r="B889" i="3"/>
  <c r="AS888" i="3"/>
  <c r="AH888" i="3"/>
  <c r="AA888" i="3"/>
  <c r="Y888" i="3"/>
  <c r="V888" i="3"/>
  <c r="T888" i="3"/>
  <c r="S888" i="3"/>
  <c r="B888" i="3"/>
  <c r="AS887" i="3"/>
  <c r="AH887" i="3"/>
  <c r="AA887" i="3"/>
  <c r="Y887" i="3"/>
  <c r="V887" i="3"/>
  <c r="U887" i="3"/>
  <c r="T887" i="3"/>
  <c r="S887" i="3"/>
  <c r="R887" i="3"/>
  <c r="Q887" i="3"/>
  <c r="L887" i="3"/>
  <c r="K887" i="3"/>
  <c r="J887" i="3"/>
  <c r="I887" i="3"/>
  <c r="AS886" i="3"/>
  <c r="AH886" i="3"/>
  <c r="AA886" i="3"/>
  <c r="Y886" i="3"/>
  <c r="V886" i="3"/>
  <c r="U886" i="3"/>
  <c r="T886" i="3"/>
  <c r="S886" i="3"/>
  <c r="B886" i="3"/>
  <c r="AS885" i="3"/>
  <c r="AH885" i="3"/>
  <c r="AA885" i="3"/>
  <c r="Y885" i="3"/>
  <c r="V885" i="3"/>
  <c r="U885" i="3"/>
  <c r="T885" i="3"/>
  <c r="S885" i="3"/>
  <c r="R885" i="3"/>
  <c r="Q885" i="3"/>
  <c r="L885" i="3"/>
  <c r="K885" i="3"/>
  <c r="J885" i="3"/>
  <c r="I885" i="3"/>
  <c r="AS884" i="3"/>
  <c r="AH884" i="3"/>
  <c r="AA884" i="3"/>
  <c r="Y884" i="3"/>
  <c r="V884" i="3"/>
  <c r="U884" i="3"/>
  <c r="T884" i="3"/>
  <c r="S884" i="3"/>
  <c r="B884" i="3"/>
  <c r="AS883" i="3"/>
  <c r="AH883" i="3"/>
  <c r="AA883" i="3"/>
  <c r="Y883" i="3"/>
  <c r="V883" i="3"/>
  <c r="U883" i="3"/>
  <c r="T883" i="3"/>
  <c r="S883" i="3"/>
  <c r="R883" i="3"/>
  <c r="Q883" i="3"/>
  <c r="L883" i="3"/>
  <c r="K883" i="3"/>
  <c r="J883" i="3"/>
  <c r="I883" i="3"/>
  <c r="AS882" i="3"/>
  <c r="AH882" i="3"/>
  <c r="AA882" i="3"/>
  <c r="Y882" i="3"/>
  <c r="V882" i="3"/>
  <c r="U882" i="3"/>
  <c r="T882" i="3"/>
  <c r="S882" i="3"/>
  <c r="B882" i="3"/>
  <c r="AS881" i="3"/>
  <c r="AH881" i="3"/>
  <c r="AA881" i="3"/>
  <c r="Y881" i="3"/>
  <c r="V881" i="3"/>
  <c r="U881" i="3"/>
  <c r="T881" i="3"/>
  <c r="S881" i="3"/>
  <c r="R881" i="3"/>
  <c r="Q881" i="3"/>
  <c r="L881" i="3"/>
  <c r="K881" i="3"/>
  <c r="J881" i="3"/>
  <c r="I881" i="3"/>
  <c r="AS880" i="3"/>
  <c r="AH880" i="3"/>
  <c r="AA880" i="3"/>
  <c r="Y880" i="3"/>
  <c r="V880" i="3"/>
  <c r="U880" i="3"/>
  <c r="T880" i="3"/>
  <c r="S880" i="3"/>
  <c r="B880" i="3"/>
  <c r="AS879" i="3"/>
  <c r="AH879" i="3"/>
  <c r="AA879" i="3"/>
  <c r="Y879" i="3"/>
  <c r="V879" i="3"/>
  <c r="U879" i="3"/>
  <c r="T879" i="3"/>
  <c r="S879" i="3"/>
  <c r="R879" i="3"/>
  <c r="Q879" i="3"/>
  <c r="L879" i="3"/>
  <c r="K879" i="3"/>
  <c r="J879" i="3"/>
  <c r="I879" i="3"/>
  <c r="AS878" i="3"/>
  <c r="AH878" i="3"/>
  <c r="AA878" i="3"/>
  <c r="Y878" i="3"/>
  <c r="V878" i="3"/>
  <c r="U878" i="3"/>
  <c r="T878" i="3"/>
  <c r="S878" i="3"/>
  <c r="B878" i="3"/>
  <c r="AS877" i="3"/>
  <c r="AH877" i="3"/>
  <c r="AA877" i="3"/>
  <c r="Y877" i="3"/>
  <c r="V877" i="3"/>
  <c r="U877" i="3"/>
  <c r="T877" i="3"/>
  <c r="S877" i="3"/>
  <c r="R877" i="3"/>
  <c r="Q877" i="3"/>
  <c r="L877" i="3"/>
  <c r="K877" i="3"/>
  <c r="J877" i="3"/>
  <c r="I877" i="3"/>
  <c r="AS876" i="3"/>
  <c r="AH876" i="3"/>
  <c r="AA876" i="3"/>
  <c r="Y876" i="3"/>
  <c r="V876" i="3"/>
  <c r="U876" i="3"/>
  <c r="T876" i="3"/>
  <c r="S876" i="3"/>
  <c r="B876" i="3"/>
  <c r="AS875" i="3"/>
  <c r="AH875" i="3"/>
  <c r="AA875" i="3"/>
  <c r="Y875" i="3"/>
  <c r="V875" i="3"/>
  <c r="U875" i="3"/>
  <c r="T875" i="3"/>
  <c r="S875" i="3"/>
  <c r="R875" i="3"/>
  <c r="Q875" i="3"/>
  <c r="L875" i="3"/>
  <c r="K875" i="3"/>
  <c r="J875" i="3"/>
  <c r="I875" i="3"/>
  <c r="AS874" i="3"/>
  <c r="AH874" i="3"/>
  <c r="AA874" i="3"/>
  <c r="Y874" i="3"/>
  <c r="V874" i="3"/>
  <c r="U874" i="3"/>
  <c r="T874" i="3"/>
  <c r="S874" i="3"/>
  <c r="B874" i="3"/>
  <c r="AS873" i="3"/>
  <c r="AH873" i="3"/>
  <c r="AA873" i="3"/>
  <c r="Y873" i="3"/>
  <c r="V873" i="3"/>
  <c r="U873" i="3"/>
  <c r="T873" i="3"/>
  <c r="S873" i="3"/>
  <c r="R873" i="3"/>
  <c r="Q873" i="3"/>
  <c r="L873" i="3"/>
  <c r="K873" i="3"/>
  <c r="J873" i="3"/>
  <c r="I873" i="3"/>
  <c r="AS872" i="3"/>
  <c r="AH872" i="3"/>
  <c r="AA872" i="3"/>
  <c r="Y872" i="3"/>
  <c r="V872" i="3"/>
  <c r="U872" i="3"/>
  <c r="T872" i="3"/>
  <c r="S872" i="3"/>
  <c r="B872" i="3"/>
  <c r="AS871" i="3"/>
  <c r="AH871" i="3"/>
  <c r="AA871" i="3"/>
  <c r="Y871" i="3"/>
  <c r="V871" i="3"/>
  <c r="U871" i="3"/>
  <c r="T871" i="3"/>
  <c r="S871" i="3"/>
  <c r="B871" i="3"/>
  <c r="AS870" i="3"/>
  <c r="AH870" i="3"/>
  <c r="AA870" i="3"/>
  <c r="Y870" i="3"/>
  <c r="V870" i="3"/>
  <c r="U870" i="3"/>
  <c r="T870" i="3"/>
  <c r="S870" i="3"/>
  <c r="R870" i="3"/>
  <c r="Q870" i="3"/>
  <c r="L870" i="3"/>
  <c r="K870" i="3"/>
  <c r="J870" i="3"/>
  <c r="I870" i="3"/>
  <c r="AS869" i="3"/>
  <c r="AH869" i="3"/>
  <c r="AA869" i="3"/>
  <c r="Y869" i="3"/>
  <c r="V869" i="3"/>
  <c r="U869" i="3"/>
  <c r="T869" i="3"/>
  <c r="S869" i="3"/>
  <c r="B869" i="3"/>
  <c r="AS868" i="3"/>
  <c r="AH868" i="3"/>
  <c r="AA868" i="3"/>
  <c r="Y868" i="3"/>
  <c r="V868" i="3"/>
  <c r="U868" i="3"/>
  <c r="T868" i="3"/>
  <c r="S868" i="3"/>
  <c r="B868" i="3"/>
  <c r="AS867" i="3"/>
  <c r="AH867" i="3"/>
  <c r="AA867" i="3"/>
  <c r="Y867" i="3"/>
  <c r="V867" i="3"/>
  <c r="U867" i="3"/>
  <c r="T867" i="3"/>
  <c r="S867" i="3"/>
  <c r="B867" i="3"/>
  <c r="AS866" i="3"/>
  <c r="AH866" i="3"/>
  <c r="AA866" i="3"/>
  <c r="Y866" i="3"/>
  <c r="V866" i="3"/>
  <c r="U866" i="3"/>
  <c r="T866" i="3"/>
  <c r="S866" i="3"/>
  <c r="B866" i="3"/>
  <c r="AS865" i="3"/>
  <c r="AH865" i="3"/>
  <c r="AA865" i="3"/>
  <c r="Y865" i="3"/>
  <c r="V865" i="3"/>
  <c r="U865" i="3"/>
  <c r="T865" i="3"/>
  <c r="S865" i="3"/>
  <c r="R865" i="3"/>
  <c r="Q865" i="3"/>
  <c r="L865" i="3"/>
  <c r="K865" i="3"/>
  <c r="J865" i="3"/>
  <c r="I865" i="3"/>
  <c r="AS864" i="3"/>
  <c r="AH864" i="3"/>
  <c r="AA864" i="3"/>
  <c r="Y864" i="3"/>
  <c r="V864" i="3"/>
  <c r="U864" i="3"/>
  <c r="T864" i="3"/>
  <c r="S864" i="3"/>
  <c r="B864" i="3"/>
  <c r="AS863" i="3"/>
  <c r="AH863" i="3"/>
  <c r="AA863" i="3"/>
  <c r="Y863" i="3"/>
  <c r="V863" i="3"/>
  <c r="U863" i="3"/>
  <c r="T863" i="3"/>
  <c r="S863" i="3"/>
  <c r="R863" i="3"/>
  <c r="Q863" i="3"/>
  <c r="L863" i="3"/>
  <c r="K863" i="3"/>
  <c r="J863" i="3"/>
  <c r="I863" i="3"/>
  <c r="AS862" i="3"/>
  <c r="AH862" i="3"/>
  <c r="AA862" i="3"/>
  <c r="Y862" i="3"/>
  <c r="V862" i="3"/>
  <c r="U862" i="3"/>
  <c r="T862" i="3"/>
  <c r="S862" i="3"/>
  <c r="B862" i="3"/>
  <c r="AS861" i="3"/>
  <c r="AH861" i="3"/>
  <c r="AA861" i="3"/>
  <c r="Y861" i="3"/>
  <c r="V861" i="3"/>
  <c r="U861" i="3"/>
  <c r="T861" i="3"/>
  <c r="S861" i="3"/>
  <c r="R861" i="3"/>
  <c r="Q861" i="3"/>
  <c r="L861" i="3"/>
  <c r="K861" i="3"/>
  <c r="J861" i="3"/>
  <c r="I861" i="3"/>
  <c r="AS860" i="3"/>
  <c r="AH860" i="3"/>
  <c r="AG860" i="3"/>
  <c r="AA860" i="3"/>
  <c r="Y860" i="3"/>
  <c r="V860" i="3"/>
  <c r="U860" i="3"/>
  <c r="T860" i="3"/>
  <c r="S860" i="3"/>
  <c r="B860" i="3"/>
  <c r="AS859" i="3"/>
  <c r="AH859" i="3"/>
  <c r="AG859" i="3"/>
  <c r="AA859" i="3"/>
  <c r="Y859" i="3"/>
  <c r="V859" i="3"/>
  <c r="U859" i="3"/>
  <c r="T859" i="3"/>
  <c r="S859" i="3"/>
  <c r="B859" i="3"/>
  <c r="AS858" i="3"/>
  <c r="AH858" i="3"/>
  <c r="AA858" i="3"/>
  <c r="Y858" i="3"/>
  <c r="V858" i="3"/>
  <c r="U858" i="3"/>
  <c r="T858" i="3"/>
  <c r="S858" i="3"/>
  <c r="R858" i="3"/>
  <c r="Q858" i="3"/>
  <c r="L858" i="3"/>
  <c r="K858" i="3"/>
  <c r="J858" i="3"/>
  <c r="I858" i="3"/>
  <c r="AS857" i="3"/>
  <c r="AH857" i="3"/>
  <c r="AA857" i="3"/>
  <c r="Y857" i="3"/>
  <c r="V857" i="3"/>
  <c r="U857" i="3"/>
  <c r="T857" i="3"/>
  <c r="S857" i="3"/>
  <c r="B857" i="3"/>
  <c r="AS856" i="3"/>
  <c r="AH856" i="3"/>
  <c r="AA856" i="3"/>
  <c r="Y856" i="3"/>
  <c r="V856" i="3"/>
  <c r="U856" i="3"/>
  <c r="T856" i="3"/>
  <c r="S856" i="3"/>
  <c r="R856" i="3"/>
  <c r="Q856" i="3"/>
  <c r="L856" i="3"/>
  <c r="K856" i="3"/>
  <c r="J856" i="3"/>
  <c r="I856" i="3"/>
  <c r="AS855" i="3"/>
  <c r="AH855" i="3"/>
  <c r="AA855" i="3"/>
  <c r="Y855" i="3"/>
  <c r="V855" i="3"/>
  <c r="U855" i="3"/>
  <c r="T855" i="3"/>
  <c r="S855" i="3"/>
  <c r="B855" i="3"/>
  <c r="AS854" i="3"/>
  <c r="AH854" i="3"/>
  <c r="AA854" i="3"/>
  <c r="Y854" i="3"/>
  <c r="V854" i="3"/>
  <c r="U854" i="3"/>
  <c r="T854" i="3"/>
  <c r="S854" i="3"/>
  <c r="B854" i="3"/>
  <c r="AS853" i="3"/>
  <c r="AH853" i="3"/>
  <c r="AA853" i="3"/>
  <c r="Y853" i="3"/>
  <c r="V853" i="3"/>
  <c r="U853" i="3"/>
  <c r="T853" i="3"/>
  <c r="S853" i="3"/>
  <c r="B853" i="3"/>
  <c r="AS852" i="3"/>
  <c r="AH852" i="3"/>
  <c r="AA852" i="3"/>
  <c r="Y852" i="3"/>
  <c r="V852" i="3"/>
  <c r="U852" i="3"/>
  <c r="T852" i="3"/>
  <c r="S852" i="3"/>
  <c r="B852" i="3"/>
  <c r="AS851" i="3"/>
  <c r="AH851" i="3"/>
  <c r="AA851" i="3"/>
  <c r="Y851" i="3"/>
  <c r="V851" i="3"/>
  <c r="U851" i="3"/>
  <c r="T851" i="3"/>
  <c r="S851" i="3"/>
  <c r="B851" i="3"/>
  <c r="AS850" i="3"/>
  <c r="AH850" i="3"/>
  <c r="AA850" i="3"/>
  <c r="Y850" i="3"/>
  <c r="V850" i="3"/>
  <c r="U850" i="3"/>
  <c r="T850" i="3"/>
  <c r="S850" i="3"/>
  <c r="B850" i="3"/>
  <c r="AS849" i="3"/>
  <c r="AH849" i="3"/>
  <c r="AA849" i="3"/>
  <c r="Y849" i="3"/>
  <c r="V849" i="3"/>
  <c r="U849" i="3"/>
  <c r="T849" i="3"/>
  <c r="S849" i="3"/>
  <c r="B849" i="3"/>
  <c r="AS848" i="3"/>
  <c r="AH848" i="3"/>
  <c r="AA848" i="3"/>
  <c r="Y848" i="3"/>
  <c r="V848" i="3"/>
  <c r="U848" i="3"/>
  <c r="T848" i="3"/>
  <c r="S848" i="3"/>
  <c r="B848" i="3"/>
  <c r="AS847" i="3"/>
  <c r="AH847" i="3"/>
  <c r="AA847" i="3"/>
  <c r="Y847" i="3"/>
  <c r="V847" i="3"/>
  <c r="U847" i="3"/>
  <c r="T847" i="3"/>
  <c r="S847" i="3"/>
  <c r="R847" i="3"/>
  <c r="Q847" i="3"/>
  <c r="L847" i="3"/>
  <c r="K847" i="3"/>
  <c r="J847" i="3"/>
  <c r="I847" i="3"/>
  <c r="AS846" i="3"/>
  <c r="AH846" i="3"/>
  <c r="AA846" i="3"/>
  <c r="Y846" i="3"/>
  <c r="V846" i="3"/>
  <c r="U846" i="3"/>
  <c r="T846" i="3"/>
  <c r="S846" i="3"/>
  <c r="B846" i="3"/>
  <c r="AS845" i="3"/>
  <c r="AH845" i="3"/>
  <c r="AA845" i="3"/>
  <c r="Y845" i="3"/>
  <c r="V845" i="3"/>
  <c r="U845" i="3"/>
  <c r="T845" i="3"/>
  <c r="S845" i="3"/>
  <c r="R845" i="3"/>
  <c r="Q845" i="3"/>
  <c r="L845" i="3"/>
  <c r="K845" i="3"/>
  <c r="J845" i="3"/>
  <c r="I845" i="3"/>
  <c r="AS844" i="3"/>
  <c r="AH844" i="3"/>
  <c r="AA844" i="3"/>
  <c r="Y844" i="3"/>
  <c r="V844" i="3"/>
  <c r="U844" i="3"/>
  <c r="T844" i="3"/>
  <c r="S844" i="3"/>
  <c r="B844" i="3"/>
  <c r="AS843" i="3"/>
  <c r="AH843" i="3"/>
  <c r="AA843" i="3"/>
  <c r="Y843" i="3"/>
  <c r="V843" i="3"/>
  <c r="U843" i="3"/>
  <c r="T843" i="3"/>
  <c r="S843" i="3"/>
  <c r="R843" i="3"/>
  <c r="Q843" i="3"/>
  <c r="L843" i="3"/>
  <c r="K843" i="3"/>
  <c r="J843" i="3"/>
  <c r="I843" i="3"/>
  <c r="AS842" i="3"/>
  <c r="AH842" i="3"/>
  <c r="AA842" i="3"/>
  <c r="Y842" i="3"/>
  <c r="V842" i="3"/>
  <c r="U842" i="3"/>
  <c r="T842" i="3"/>
  <c r="S842" i="3"/>
  <c r="B842" i="3"/>
  <c r="AS841" i="3"/>
  <c r="AH841" i="3"/>
  <c r="AA841" i="3"/>
  <c r="Y841" i="3"/>
  <c r="V841" i="3"/>
  <c r="U841" i="3"/>
  <c r="T841" i="3"/>
  <c r="S841" i="3"/>
  <c r="R841" i="3"/>
  <c r="Q841" i="3"/>
  <c r="L841" i="3"/>
  <c r="K841" i="3"/>
  <c r="J841" i="3"/>
  <c r="I841" i="3"/>
  <c r="AS840" i="3"/>
  <c r="AH840" i="3"/>
  <c r="AA840" i="3"/>
  <c r="Y840" i="3"/>
  <c r="V840" i="3"/>
  <c r="U840" i="3"/>
  <c r="T840" i="3"/>
  <c r="S840" i="3"/>
  <c r="B840" i="3"/>
  <c r="AS839" i="3"/>
  <c r="AH839" i="3"/>
  <c r="AA839" i="3"/>
  <c r="Y839" i="3"/>
  <c r="V839" i="3"/>
  <c r="U839" i="3"/>
  <c r="T839" i="3"/>
  <c r="S839" i="3"/>
  <c r="R839" i="3"/>
  <c r="Q839" i="3"/>
  <c r="L839" i="3"/>
  <c r="K839" i="3"/>
  <c r="J839" i="3"/>
  <c r="I839" i="3"/>
  <c r="AS838" i="3"/>
  <c r="AH838" i="3"/>
  <c r="AA838" i="3"/>
  <c r="Y838" i="3"/>
  <c r="V838" i="3"/>
  <c r="U838" i="3"/>
  <c r="T838" i="3"/>
  <c r="S838" i="3"/>
  <c r="B838" i="3"/>
  <c r="AS837" i="3"/>
  <c r="AH837" i="3"/>
  <c r="AA837" i="3"/>
  <c r="Y837" i="3"/>
  <c r="V837" i="3"/>
  <c r="U837" i="3"/>
  <c r="T837" i="3"/>
  <c r="S837" i="3"/>
  <c r="R837" i="3"/>
  <c r="Q837" i="3"/>
  <c r="L837" i="3"/>
  <c r="K837" i="3"/>
  <c r="J837" i="3"/>
  <c r="I837" i="3"/>
  <c r="AS836" i="3"/>
  <c r="AH836" i="3"/>
  <c r="AA836" i="3"/>
  <c r="Y836" i="3"/>
  <c r="V836" i="3"/>
  <c r="U836" i="3"/>
  <c r="T836" i="3"/>
  <c r="S836" i="3"/>
  <c r="B836" i="3"/>
  <c r="AS835" i="3"/>
  <c r="AH835" i="3"/>
  <c r="AA835" i="3"/>
  <c r="Y835" i="3"/>
  <c r="V835" i="3"/>
  <c r="U835" i="3"/>
  <c r="T835" i="3"/>
  <c r="S835" i="3"/>
  <c r="R835" i="3"/>
  <c r="Q835" i="3"/>
  <c r="L835" i="3"/>
  <c r="K835" i="3"/>
  <c r="J835" i="3"/>
  <c r="I835" i="3"/>
  <c r="AS834" i="3"/>
  <c r="AH834" i="3"/>
  <c r="AG834" i="3"/>
  <c r="AA834" i="3"/>
  <c r="Y834" i="3"/>
  <c r="V834" i="3"/>
  <c r="U834" i="3"/>
  <c r="T834" i="3"/>
  <c r="S834" i="3"/>
  <c r="B834" i="3"/>
  <c r="AS833" i="3"/>
  <c r="AH833" i="3"/>
  <c r="AA833" i="3"/>
  <c r="Y833" i="3"/>
  <c r="V833" i="3"/>
  <c r="U833" i="3"/>
  <c r="T833" i="3"/>
  <c r="S833" i="3"/>
  <c r="R833" i="3"/>
  <c r="Q833" i="3"/>
  <c r="L833" i="3"/>
  <c r="K833" i="3"/>
  <c r="J833" i="3"/>
  <c r="I833" i="3"/>
  <c r="AS832" i="3"/>
  <c r="AH832" i="3"/>
  <c r="AA832" i="3"/>
  <c r="Y832" i="3"/>
  <c r="V832" i="3"/>
  <c r="T832" i="3"/>
  <c r="S832" i="3"/>
  <c r="K832" i="3"/>
  <c r="B832" i="3"/>
  <c r="AS831" i="3"/>
  <c r="AH831" i="3"/>
  <c r="AA831" i="3"/>
  <c r="Y831" i="3"/>
  <c r="V831" i="3"/>
  <c r="U831" i="3"/>
  <c r="T831" i="3"/>
  <c r="S831" i="3"/>
  <c r="K831" i="3"/>
  <c r="B831" i="3"/>
  <c r="AS830" i="3"/>
  <c r="AH830" i="3"/>
  <c r="AA830" i="3"/>
  <c r="Y830" i="3"/>
  <c r="V830" i="3"/>
  <c r="T830" i="3"/>
  <c r="S830" i="3"/>
  <c r="B830" i="3"/>
  <c r="AS829" i="3"/>
  <c r="AH829" i="3"/>
  <c r="AA829" i="3"/>
  <c r="Y829" i="3"/>
  <c r="V829" i="3"/>
  <c r="U829" i="3"/>
  <c r="T829" i="3"/>
  <c r="S829" i="3"/>
  <c r="B829" i="3"/>
  <c r="AS828" i="3"/>
  <c r="AH828" i="3"/>
  <c r="AA828" i="3"/>
  <c r="Y828" i="3"/>
  <c r="V828" i="3"/>
  <c r="U828" i="3"/>
  <c r="T828" i="3"/>
  <c r="S828" i="3"/>
  <c r="R828" i="3"/>
  <c r="Q828" i="3"/>
  <c r="L828" i="3"/>
  <c r="K828" i="3"/>
  <c r="J828" i="3"/>
  <c r="I828" i="3"/>
  <c r="AS827" i="3"/>
  <c r="AH827" i="3"/>
  <c r="AA827" i="3"/>
  <c r="Y827" i="3"/>
  <c r="V827" i="3"/>
  <c r="U827" i="3"/>
  <c r="T827" i="3"/>
  <c r="S827" i="3"/>
  <c r="B827" i="3"/>
  <c r="AS826" i="3"/>
  <c r="AH826" i="3"/>
  <c r="AA826" i="3"/>
  <c r="Y826" i="3"/>
  <c r="V826" i="3"/>
  <c r="U826" i="3"/>
  <c r="T826" i="3"/>
  <c r="S826" i="3"/>
  <c r="B826" i="3"/>
  <c r="AS825" i="3"/>
  <c r="AH825" i="3"/>
  <c r="AA825" i="3"/>
  <c r="Y825" i="3"/>
  <c r="V825" i="3"/>
  <c r="U825" i="3"/>
  <c r="T825" i="3"/>
  <c r="S825" i="3"/>
  <c r="B825" i="3"/>
  <c r="AS824" i="3"/>
  <c r="AH824" i="3"/>
  <c r="AA824" i="3"/>
  <c r="Y824" i="3"/>
  <c r="V824" i="3"/>
  <c r="U824" i="3"/>
  <c r="T824" i="3"/>
  <c r="S824" i="3"/>
  <c r="B824" i="3"/>
  <c r="AS823" i="3"/>
  <c r="AH823" i="3"/>
  <c r="AA823" i="3"/>
  <c r="Y823" i="3"/>
  <c r="V823" i="3"/>
  <c r="U823" i="3"/>
  <c r="T823" i="3"/>
  <c r="S823" i="3"/>
  <c r="B823" i="3"/>
  <c r="AS822" i="3"/>
  <c r="AH822" i="3"/>
  <c r="AG822" i="3"/>
  <c r="AA822" i="3"/>
  <c r="Y822" i="3"/>
  <c r="V822" i="3"/>
  <c r="U822" i="3"/>
  <c r="T822" i="3"/>
  <c r="S822" i="3"/>
  <c r="B822" i="3"/>
  <c r="AS821" i="3"/>
  <c r="AH821" i="3"/>
  <c r="AA821" i="3"/>
  <c r="Y821" i="3"/>
  <c r="V821" i="3"/>
  <c r="U821" i="3"/>
  <c r="T821" i="3"/>
  <c r="S821" i="3"/>
  <c r="R821" i="3"/>
  <c r="Q821" i="3"/>
  <c r="L821" i="3"/>
  <c r="K821" i="3"/>
  <c r="J821" i="3"/>
  <c r="I821" i="3"/>
  <c r="AS820" i="3"/>
  <c r="AH820" i="3"/>
  <c r="AA820" i="3"/>
  <c r="Y820" i="3"/>
  <c r="V820" i="3"/>
  <c r="U820" i="3"/>
  <c r="T820" i="3"/>
  <c r="S820" i="3"/>
  <c r="B820" i="3"/>
  <c r="AS819" i="3"/>
  <c r="AH819" i="3"/>
  <c r="AA819" i="3"/>
  <c r="Y819" i="3"/>
  <c r="V819" i="3"/>
  <c r="U819" i="3"/>
  <c r="T819" i="3"/>
  <c r="S819" i="3"/>
  <c r="R819" i="3"/>
  <c r="Q819" i="3"/>
  <c r="L819" i="3"/>
  <c r="K819" i="3"/>
  <c r="J819" i="3"/>
  <c r="I819" i="3"/>
  <c r="AS818" i="3"/>
  <c r="AH818" i="3"/>
  <c r="AA818" i="3"/>
  <c r="Y818" i="3"/>
  <c r="V818" i="3"/>
  <c r="U818" i="3"/>
  <c r="T818" i="3"/>
  <c r="S818" i="3"/>
  <c r="B818" i="3"/>
  <c r="AS817" i="3"/>
  <c r="AH817" i="3"/>
  <c r="AA817" i="3"/>
  <c r="Y817" i="3"/>
  <c r="V817" i="3"/>
  <c r="U817" i="3"/>
  <c r="T817" i="3"/>
  <c r="S817" i="3"/>
  <c r="R817" i="3"/>
  <c r="Q817" i="3"/>
  <c r="L817" i="3"/>
  <c r="K817" i="3"/>
  <c r="J817" i="3"/>
  <c r="I817" i="3"/>
  <c r="AS816" i="3"/>
  <c r="AH816" i="3"/>
  <c r="AA816" i="3"/>
  <c r="Y816" i="3"/>
  <c r="V816" i="3"/>
  <c r="T816" i="3"/>
  <c r="S816" i="3"/>
  <c r="B816" i="3"/>
  <c r="AS815" i="3"/>
  <c r="AH815" i="3"/>
  <c r="AA815" i="3"/>
  <c r="Y815" i="3"/>
  <c r="V815" i="3"/>
  <c r="U815" i="3"/>
  <c r="T815" i="3"/>
  <c r="S815" i="3"/>
  <c r="B815" i="3"/>
  <c r="AS814" i="3"/>
  <c r="AH814" i="3"/>
  <c r="AA814" i="3"/>
  <c r="Y814" i="3"/>
  <c r="V814" i="3"/>
  <c r="U814" i="3"/>
  <c r="T814" i="3"/>
  <c r="S814" i="3"/>
  <c r="R814" i="3"/>
  <c r="Q814" i="3"/>
  <c r="L814" i="3"/>
  <c r="K814" i="3"/>
  <c r="J814" i="3"/>
  <c r="I814" i="3"/>
  <c r="AS813" i="3"/>
  <c r="AH813" i="3"/>
  <c r="AA813" i="3"/>
  <c r="Y813" i="3"/>
  <c r="V813" i="3"/>
  <c r="U813" i="3"/>
  <c r="T813" i="3"/>
  <c r="S813" i="3"/>
  <c r="B813" i="3"/>
  <c r="AS812" i="3"/>
  <c r="AH812" i="3"/>
  <c r="AA812" i="3"/>
  <c r="Y812" i="3"/>
  <c r="V812" i="3"/>
  <c r="U812" i="3"/>
  <c r="T812" i="3"/>
  <c r="S812" i="3"/>
  <c r="R812" i="3"/>
  <c r="Q812" i="3"/>
  <c r="L812" i="3"/>
  <c r="K812" i="3"/>
  <c r="J812" i="3"/>
  <c r="I812" i="3"/>
  <c r="AS811" i="3"/>
  <c r="AH811" i="3"/>
  <c r="AA811" i="3"/>
  <c r="Y811" i="3"/>
  <c r="V811" i="3"/>
  <c r="U811" i="3"/>
  <c r="T811" i="3"/>
  <c r="S811" i="3"/>
  <c r="B811" i="3"/>
  <c r="AS810" i="3"/>
  <c r="AH810" i="3"/>
  <c r="AA810" i="3"/>
  <c r="Y810" i="3"/>
  <c r="V810" i="3"/>
  <c r="U810" i="3"/>
  <c r="T810" i="3"/>
  <c r="S810" i="3"/>
  <c r="B810" i="3"/>
  <c r="AS809" i="3"/>
  <c r="AH809" i="3"/>
  <c r="AA809" i="3"/>
  <c r="Y809" i="3"/>
  <c r="V809" i="3"/>
  <c r="U809" i="3"/>
  <c r="T809" i="3"/>
  <c r="S809" i="3"/>
  <c r="R809" i="3"/>
  <c r="Q809" i="3"/>
  <c r="L809" i="3"/>
  <c r="K809" i="3"/>
  <c r="J809" i="3"/>
  <c r="I809" i="3"/>
  <c r="AS808" i="3"/>
  <c r="AH808" i="3"/>
  <c r="AA808" i="3"/>
  <c r="Y808" i="3"/>
  <c r="V808" i="3"/>
  <c r="U808" i="3"/>
  <c r="T808" i="3"/>
  <c r="S808" i="3"/>
  <c r="B808" i="3"/>
  <c r="AS807" i="3"/>
  <c r="AH807" i="3"/>
  <c r="AA807" i="3"/>
  <c r="Y807" i="3"/>
  <c r="V807" i="3"/>
  <c r="U807" i="3"/>
  <c r="T807" i="3"/>
  <c r="S807" i="3"/>
  <c r="B807" i="3"/>
  <c r="AS806" i="3"/>
  <c r="AH806" i="3"/>
  <c r="AG806" i="3"/>
  <c r="AA806" i="3"/>
  <c r="Y806" i="3"/>
  <c r="V806" i="3"/>
  <c r="U806" i="3"/>
  <c r="T806" i="3"/>
  <c r="S806" i="3"/>
  <c r="B806" i="3"/>
  <c r="AS805" i="3"/>
  <c r="AH805" i="3"/>
  <c r="AA805" i="3"/>
  <c r="Y805" i="3"/>
  <c r="V805" i="3"/>
  <c r="U805" i="3"/>
  <c r="T805" i="3"/>
  <c r="S805" i="3"/>
  <c r="B805" i="3"/>
  <c r="AS804" i="3"/>
  <c r="AH804" i="3"/>
  <c r="AA804" i="3"/>
  <c r="Y804" i="3"/>
  <c r="V804" i="3"/>
  <c r="U804" i="3"/>
  <c r="T804" i="3"/>
  <c r="S804" i="3"/>
  <c r="R804" i="3"/>
  <c r="Q804" i="3"/>
  <c r="L804" i="3"/>
  <c r="K804" i="3"/>
  <c r="J804" i="3"/>
  <c r="I804" i="3"/>
  <c r="AS803" i="3"/>
  <c r="AH803" i="3"/>
  <c r="AA803" i="3"/>
  <c r="Y803" i="3"/>
  <c r="V803" i="3"/>
  <c r="U803" i="3"/>
  <c r="T803" i="3"/>
  <c r="S803" i="3"/>
  <c r="B803" i="3"/>
  <c r="AS802" i="3"/>
  <c r="AH802" i="3"/>
  <c r="AA802" i="3"/>
  <c r="Y802" i="3"/>
  <c r="V802" i="3"/>
  <c r="U802" i="3"/>
  <c r="T802" i="3"/>
  <c r="S802" i="3"/>
  <c r="B802" i="3"/>
  <c r="AS801" i="3"/>
  <c r="AH801" i="3"/>
  <c r="AA801" i="3"/>
  <c r="Y801" i="3"/>
  <c r="V801" i="3"/>
  <c r="U801" i="3"/>
  <c r="T801" i="3"/>
  <c r="S801" i="3"/>
  <c r="R801" i="3"/>
  <c r="Q801" i="3"/>
  <c r="L801" i="3"/>
  <c r="K801" i="3"/>
  <c r="J801" i="3"/>
  <c r="I801" i="3"/>
  <c r="AS800" i="3"/>
  <c r="AH800" i="3"/>
  <c r="AA800" i="3"/>
  <c r="Y800" i="3"/>
  <c r="V800" i="3"/>
  <c r="U800" i="3"/>
  <c r="T800" i="3"/>
  <c r="S800" i="3"/>
  <c r="K800" i="3"/>
  <c r="B800" i="3"/>
  <c r="AS799" i="3"/>
  <c r="AH799" i="3"/>
  <c r="AA799" i="3"/>
  <c r="Y799" i="3"/>
  <c r="V799" i="3"/>
  <c r="U799" i="3"/>
  <c r="T799" i="3"/>
  <c r="S799" i="3"/>
  <c r="K799" i="3"/>
  <c r="B799" i="3"/>
  <c r="AS798" i="3"/>
  <c r="AH798" i="3"/>
  <c r="AA798" i="3"/>
  <c r="Y798" i="3"/>
  <c r="V798" i="3"/>
  <c r="U798" i="3"/>
  <c r="T798" i="3"/>
  <c r="S798" i="3"/>
  <c r="K798" i="3"/>
  <c r="B798" i="3"/>
  <c r="AS797" i="3"/>
  <c r="AH797" i="3"/>
  <c r="AA797" i="3"/>
  <c r="Y797" i="3"/>
  <c r="V797" i="3"/>
  <c r="U797" i="3"/>
  <c r="T797" i="3"/>
  <c r="S797" i="3"/>
  <c r="K797" i="3"/>
  <c r="B797" i="3"/>
  <c r="AS796" i="3"/>
  <c r="AH796" i="3"/>
  <c r="AA796" i="3"/>
  <c r="Y796" i="3"/>
  <c r="V796" i="3"/>
  <c r="U796" i="3"/>
  <c r="T796" i="3"/>
  <c r="S796" i="3"/>
  <c r="K796" i="3"/>
  <c r="B796" i="3"/>
  <c r="AS795" i="3"/>
  <c r="AH795" i="3"/>
  <c r="AA795" i="3"/>
  <c r="Y795" i="3"/>
  <c r="V795" i="3"/>
  <c r="U795" i="3"/>
  <c r="T795" i="3"/>
  <c r="S795" i="3"/>
  <c r="B795" i="3"/>
  <c r="AS794" i="3"/>
  <c r="AH794" i="3"/>
  <c r="AA794" i="3"/>
  <c r="Y794" i="3"/>
  <c r="V794" i="3"/>
  <c r="U794" i="3"/>
  <c r="T794" i="3"/>
  <c r="S794" i="3"/>
  <c r="B794" i="3"/>
  <c r="AS793" i="3"/>
  <c r="AR793" i="3"/>
  <c r="AH793" i="3"/>
  <c r="AA793" i="3"/>
  <c r="Y793" i="3"/>
  <c r="V793" i="3"/>
  <c r="U793" i="3"/>
  <c r="T793" i="3"/>
  <c r="S793" i="3"/>
  <c r="B793" i="3"/>
  <c r="AS792" i="3"/>
  <c r="AH792" i="3"/>
  <c r="AA792" i="3"/>
  <c r="Y792" i="3"/>
  <c r="V792" i="3"/>
  <c r="U792" i="3"/>
  <c r="T792" i="3"/>
  <c r="S792" i="3"/>
  <c r="B792" i="3"/>
  <c r="AS791" i="3"/>
  <c r="AH791" i="3"/>
  <c r="AA791" i="3"/>
  <c r="Y791" i="3"/>
  <c r="V791" i="3"/>
  <c r="U791" i="3"/>
  <c r="T791" i="3"/>
  <c r="S791" i="3"/>
  <c r="B791" i="3"/>
  <c r="AS790" i="3"/>
  <c r="AH790" i="3"/>
  <c r="AA790" i="3"/>
  <c r="Y790" i="3"/>
  <c r="V790" i="3"/>
  <c r="U790" i="3"/>
  <c r="T790" i="3"/>
  <c r="S790" i="3"/>
  <c r="B790" i="3"/>
  <c r="AS789" i="3"/>
  <c r="AH789" i="3"/>
  <c r="AA789" i="3"/>
  <c r="Y789" i="3"/>
  <c r="V789" i="3"/>
  <c r="U789" i="3"/>
  <c r="T789" i="3"/>
  <c r="S789" i="3"/>
  <c r="B789" i="3"/>
  <c r="AS788" i="3"/>
  <c r="AH788" i="3"/>
  <c r="AA788" i="3"/>
  <c r="Y788" i="3"/>
  <c r="V788" i="3"/>
  <c r="U788" i="3"/>
  <c r="T788" i="3"/>
  <c r="S788" i="3"/>
  <c r="B788" i="3"/>
  <c r="AS787" i="3"/>
  <c r="AH787" i="3"/>
  <c r="AA787" i="3"/>
  <c r="Y787" i="3"/>
  <c r="V787" i="3"/>
  <c r="U787" i="3"/>
  <c r="T787" i="3"/>
  <c r="S787" i="3"/>
  <c r="B787" i="3"/>
  <c r="AS786" i="3"/>
  <c r="AH786" i="3"/>
  <c r="AA786" i="3"/>
  <c r="Y786" i="3"/>
  <c r="V786" i="3"/>
  <c r="U786" i="3"/>
  <c r="T786" i="3"/>
  <c r="S786" i="3"/>
  <c r="B786" i="3"/>
  <c r="AS785" i="3"/>
  <c r="AH785" i="3"/>
  <c r="AA785" i="3"/>
  <c r="Y785" i="3"/>
  <c r="V785" i="3"/>
  <c r="U785" i="3"/>
  <c r="T785" i="3"/>
  <c r="S785" i="3"/>
  <c r="B785" i="3"/>
  <c r="AS784" i="3"/>
  <c r="AH784" i="3"/>
  <c r="AA784" i="3"/>
  <c r="Y784" i="3"/>
  <c r="V784" i="3"/>
  <c r="U784" i="3"/>
  <c r="T784" i="3"/>
  <c r="S784" i="3"/>
  <c r="B784" i="3"/>
  <c r="AS783" i="3"/>
  <c r="AH783" i="3"/>
  <c r="AA783" i="3"/>
  <c r="Y783" i="3"/>
  <c r="V783" i="3"/>
  <c r="U783" i="3"/>
  <c r="T783" i="3"/>
  <c r="S783" i="3"/>
  <c r="R783" i="3"/>
  <c r="Q783" i="3"/>
  <c r="L783" i="3"/>
  <c r="K783" i="3"/>
  <c r="J783" i="3"/>
  <c r="I783" i="3"/>
  <c r="AS782" i="3"/>
  <c r="AH782" i="3"/>
  <c r="AG782" i="3"/>
  <c r="AA782" i="3"/>
  <c r="Y782" i="3"/>
  <c r="V782" i="3"/>
  <c r="U782" i="3"/>
  <c r="T782" i="3"/>
  <c r="S782" i="3"/>
  <c r="B782" i="3"/>
  <c r="AS781" i="3"/>
  <c r="AH781" i="3"/>
  <c r="AA781" i="3"/>
  <c r="Y781" i="3"/>
  <c r="V781" i="3"/>
  <c r="T781" i="3"/>
  <c r="S781" i="3"/>
  <c r="K781" i="3"/>
  <c r="B781" i="3"/>
  <c r="AS780" i="3"/>
  <c r="AR780" i="3"/>
  <c r="AH780" i="3"/>
  <c r="AA780" i="3"/>
  <c r="Y780" i="3"/>
  <c r="V780" i="3"/>
  <c r="U780" i="3"/>
  <c r="T780" i="3"/>
  <c r="S780" i="3"/>
  <c r="B780" i="3"/>
  <c r="AS779" i="3"/>
  <c r="AH779" i="3"/>
  <c r="AA779" i="3"/>
  <c r="Y779" i="3"/>
  <c r="V779" i="3"/>
  <c r="U779" i="3"/>
  <c r="T779" i="3"/>
  <c r="S779" i="3"/>
  <c r="R779" i="3"/>
  <c r="Q779" i="3"/>
  <c r="L779" i="3"/>
  <c r="K779" i="3"/>
  <c r="J779" i="3"/>
  <c r="I779" i="3"/>
  <c r="AS778" i="3"/>
  <c r="AH778" i="3"/>
  <c r="AA778" i="3"/>
  <c r="Y778" i="3"/>
  <c r="V778" i="3"/>
  <c r="U778" i="3"/>
  <c r="T778" i="3"/>
  <c r="S778" i="3"/>
  <c r="B778" i="3"/>
  <c r="AS777" i="3"/>
  <c r="AH777" i="3"/>
  <c r="AG777" i="3"/>
  <c r="AA777" i="3"/>
  <c r="Y777" i="3"/>
  <c r="V777" i="3"/>
  <c r="U777" i="3"/>
  <c r="T777" i="3"/>
  <c r="S777" i="3"/>
  <c r="B777" i="3"/>
  <c r="AS776" i="3"/>
  <c r="AH776" i="3"/>
  <c r="AA776" i="3"/>
  <c r="Y776" i="3"/>
  <c r="V776" i="3"/>
  <c r="U776" i="3"/>
  <c r="T776" i="3"/>
  <c r="S776" i="3"/>
  <c r="B776" i="3"/>
  <c r="AS775" i="3"/>
  <c r="AH775" i="3"/>
  <c r="AG775" i="3"/>
  <c r="AA775" i="3"/>
  <c r="Y775" i="3"/>
  <c r="V775" i="3"/>
  <c r="U775" i="3"/>
  <c r="T775" i="3"/>
  <c r="S775" i="3"/>
  <c r="B775" i="3"/>
  <c r="AS774" i="3"/>
  <c r="AH774" i="3"/>
  <c r="AA774" i="3"/>
  <c r="Y774" i="3"/>
  <c r="V774" i="3"/>
  <c r="U774" i="3"/>
  <c r="T774" i="3"/>
  <c r="S774" i="3"/>
  <c r="B774" i="3"/>
  <c r="AS773" i="3"/>
  <c r="AH773" i="3"/>
  <c r="AA773" i="3"/>
  <c r="Y773" i="3"/>
  <c r="V773" i="3"/>
  <c r="U773" i="3"/>
  <c r="T773" i="3"/>
  <c r="S773" i="3"/>
  <c r="B773" i="3"/>
  <c r="AS772" i="3"/>
  <c r="AH772" i="3"/>
  <c r="AA772" i="3"/>
  <c r="Y772" i="3"/>
  <c r="V772" i="3"/>
  <c r="U772" i="3"/>
  <c r="T772" i="3"/>
  <c r="S772" i="3"/>
  <c r="B772" i="3"/>
  <c r="AS771" i="3"/>
  <c r="AR771" i="3"/>
  <c r="AH771" i="3"/>
  <c r="AA771" i="3"/>
  <c r="Y771" i="3"/>
  <c r="V771" i="3"/>
  <c r="U771" i="3"/>
  <c r="T771" i="3"/>
  <c r="S771" i="3"/>
  <c r="B771" i="3"/>
  <c r="AS770" i="3"/>
  <c r="AH770" i="3"/>
  <c r="AA770" i="3"/>
  <c r="Y770" i="3"/>
  <c r="V770" i="3"/>
  <c r="U770" i="3"/>
  <c r="T770" i="3"/>
  <c r="S770" i="3"/>
  <c r="B770" i="3"/>
  <c r="AS769" i="3"/>
  <c r="AH769" i="3"/>
  <c r="AA769" i="3"/>
  <c r="Y769" i="3"/>
  <c r="V769" i="3"/>
  <c r="U769" i="3"/>
  <c r="T769" i="3"/>
  <c r="S769" i="3"/>
  <c r="B769" i="3"/>
  <c r="AS768" i="3"/>
  <c r="AH768" i="3"/>
  <c r="AA768" i="3"/>
  <c r="Y768" i="3"/>
  <c r="V768" i="3"/>
  <c r="U768" i="3"/>
  <c r="T768" i="3"/>
  <c r="S768" i="3"/>
  <c r="B768" i="3"/>
  <c r="AS767" i="3"/>
  <c r="AH767" i="3"/>
  <c r="AA767" i="3"/>
  <c r="Y767" i="3"/>
  <c r="V767" i="3"/>
  <c r="U767" i="3"/>
  <c r="T767" i="3"/>
  <c r="S767" i="3"/>
  <c r="K767" i="3"/>
  <c r="B767" i="3"/>
  <c r="AS766" i="3"/>
  <c r="AR766" i="3"/>
  <c r="AH766" i="3"/>
  <c r="AA766" i="3"/>
  <c r="Y766" i="3"/>
  <c r="V766" i="3"/>
  <c r="U766" i="3"/>
  <c r="T766" i="3"/>
  <c r="S766" i="3"/>
  <c r="B766" i="3"/>
  <c r="AS765" i="3"/>
  <c r="AR765" i="3"/>
  <c r="AH765" i="3"/>
  <c r="AA765" i="3"/>
  <c r="Y765" i="3"/>
  <c r="V765" i="3"/>
  <c r="U765" i="3"/>
  <c r="T765" i="3"/>
  <c r="S765" i="3"/>
  <c r="B765" i="3"/>
  <c r="AS764" i="3"/>
  <c r="AH764" i="3"/>
  <c r="AA764" i="3"/>
  <c r="Y764" i="3"/>
  <c r="V764" i="3"/>
  <c r="U764" i="3"/>
  <c r="T764" i="3"/>
  <c r="S764" i="3"/>
  <c r="B764" i="3"/>
  <c r="AS763" i="3"/>
  <c r="AR763" i="3"/>
  <c r="AH763" i="3"/>
  <c r="AA763" i="3"/>
  <c r="Y763" i="3"/>
  <c r="V763" i="3"/>
  <c r="U763" i="3"/>
  <c r="T763" i="3"/>
  <c r="S763" i="3"/>
  <c r="B763" i="3"/>
  <c r="AS762" i="3"/>
  <c r="AH762" i="3"/>
  <c r="AA762" i="3"/>
  <c r="Y762" i="3"/>
  <c r="V762" i="3"/>
  <c r="U762" i="3"/>
  <c r="T762" i="3"/>
  <c r="S762" i="3"/>
  <c r="B762" i="3"/>
  <c r="AS761" i="3"/>
  <c r="AR761" i="3"/>
  <c r="AH761" i="3"/>
  <c r="AA761" i="3"/>
  <c r="Y761" i="3"/>
  <c r="V761" i="3"/>
  <c r="U761" i="3"/>
  <c r="T761" i="3"/>
  <c r="S761" i="3"/>
  <c r="B761" i="3"/>
  <c r="AS760" i="3"/>
  <c r="AR760" i="3"/>
  <c r="AH760" i="3"/>
  <c r="AA760" i="3"/>
  <c r="Y760" i="3"/>
  <c r="V760" i="3"/>
  <c r="U760" i="3"/>
  <c r="T760" i="3"/>
  <c r="S760" i="3"/>
  <c r="B760" i="3"/>
  <c r="AS759" i="3"/>
  <c r="AH759" i="3"/>
  <c r="AA759" i="3"/>
  <c r="Y759" i="3"/>
  <c r="V759" i="3"/>
  <c r="U759" i="3"/>
  <c r="T759" i="3"/>
  <c r="S759" i="3"/>
  <c r="B759" i="3"/>
  <c r="AS758" i="3"/>
  <c r="AH758" i="3"/>
  <c r="AA758" i="3"/>
  <c r="Y758" i="3"/>
  <c r="V758" i="3"/>
  <c r="U758" i="3"/>
  <c r="T758" i="3"/>
  <c r="S758" i="3"/>
  <c r="R758" i="3"/>
  <c r="Q758" i="3"/>
  <c r="L758" i="3"/>
  <c r="K758" i="3"/>
  <c r="J758" i="3"/>
  <c r="I758" i="3"/>
  <c r="AS757" i="3"/>
  <c r="AR757" i="3"/>
  <c r="AH757" i="3"/>
  <c r="AA757" i="3"/>
  <c r="Y757" i="3"/>
  <c r="V757" i="3"/>
  <c r="U757" i="3"/>
  <c r="T757" i="3"/>
  <c r="S757" i="3"/>
  <c r="B757" i="3"/>
  <c r="AS756" i="3"/>
  <c r="AH756" i="3"/>
  <c r="AA756" i="3"/>
  <c r="Y756" i="3"/>
  <c r="V756" i="3"/>
  <c r="U756" i="3"/>
  <c r="T756" i="3"/>
  <c r="S756" i="3"/>
  <c r="B756" i="3"/>
  <c r="AS755" i="3"/>
  <c r="AH755" i="3"/>
  <c r="AA755" i="3"/>
  <c r="Y755" i="3"/>
  <c r="V755" i="3"/>
  <c r="U755" i="3"/>
  <c r="T755" i="3"/>
  <c r="S755" i="3"/>
  <c r="B755" i="3"/>
  <c r="AS754" i="3"/>
  <c r="AH754" i="3"/>
  <c r="AA754" i="3"/>
  <c r="Y754" i="3"/>
  <c r="V754" i="3"/>
  <c r="U754" i="3"/>
  <c r="T754" i="3"/>
  <c r="S754" i="3"/>
  <c r="B754" i="3"/>
  <c r="AS753" i="3"/>
  <c r="AR753" i="3"/>
  <c r="AH753" i="3"/>
  <c r="AA753" i="3"/>
  <c r="Y753" i="3"/>
  <c r="V753" i="3"/>
  <c r="U753" i="3"/>
  <c r="T753" i="3"/>
  <c r="S753" i="3"/>
  <c r="B753" i="3"/>
  <c r="AS752" i="3"/>
  <c r="AH752" i="3"/>
  <c r="AA752" i="3"/>
  <c r="Y752" i="3"/>
  <c r="V752" i="3"/>
  <c r="U752" i="3"/>
  <c r="T752" i="3"/>
  <c r="S752" i="3"/>
  <c r="B752" i="3"/>
  <c r="AS751" i="3"/>
  <c r="AH751" i="3"/>
  <c r="AA751" i="3"/>
  <c r="Y751" i="3"/>
  <c r="V751" i="3"/>
  <c r="U751" i="3"/>
  <c r="T751" i="3"/>
  <c r="S751" i="3"/>
  <c r="B751" i="3"/>
  <c r="AS750" i="3"/>
  <c r="AH750" i="3"/>
  <c r="AA750" i="3"/>
  <c r="Y750" i="3"/>
  <c r="V750" i="3"/>
  <c r="U750" i="3"/>
  <c r="T750" i="3"/>
  <c r="S750" i="3"/>
  <c r="B750" i="3"/>
  <c r="AS749" i="3"/>
  <c r="AH749" i="3"/>
  <c r="AA749" i="3"/>
  <c r="Y749" i="3"/>
  <c r="V749" i="3"/>
  <c r="U749" i="3"/>
  <c r="T749" i="3"/>
  <c r="S749" i="3"/>
  <c r="B749" i="3"/>
  <c r="AS748" i="3"/>
  <c r="AH748" i="3"/>
  <c r="AA748" i="3"/>
  <c r="Y748" i="3"/>
  <c r="V748" i="3"/>
  <c r="U748" i="3"/>
  <c r="T748" i="3"/>
  <c r="S748" i="3"/>
  <c r="B748" i="3"/>
  <c r="AS747" i="3"/>
  <c r="AH747" i="3"/>
  <c r="AA747" i="3"/>
  <c r="Y747" i="3"/>
  <c r="V747" i="3"/>
  <c r="U747" i="3"/>
  <c r="T747" i="3"/>
  <c r="S747" i="3"/>
  <c r="B747" i="3"/>
  <c r="AS746" i="3"/>
  <c r="AH746" i="3"/>
  <c r="AA746" i="3"/>
  <c r="Y746" i="3"/>
  <c r="V746" i="3"/>
  <c r="U746" i="3"/>
  <c r="T746" i="3"/>
  <c r="S746" i="3"/>
  <c r="B746" i="3"/>
  <c r="AS745" i="3"/>
  <c r="AH745" i="3"/>
  <c r="AA745" i="3"/>
  <c r="Y745" i="3"/>
  <c r="V745" i="3"/>
  <c r="U745" i="3"/>
  <c r="T745" i="3"/>
  <c r="S745" i="3"/>
  <c r="B745" i="3"/>
  <c r="AS744" i="3"/>
  <c r="AR744" i="3"/>
  <c r="AH744" i="3"/>
  <c r="AA744" i="3"/>
  <c r="Y744" i="3"/>
  <c r="V744" i="3"/>
  <c r="U744" i="3"/>
  <c r="T744" i="3"/>
  <c r="S744" i="3"/>
  <c r="B744" i="3"/>
  <c r="AS743" i="3"/>
  <c r="AH743" i="3"/>
  <c r="AA743" i="3"/>
  <c r="Y743" i="3"/>
  <c r="V743" i="3"/>
  <c r="U743" i="3"/>
  <c r="T743" i="3"/>
  <c r="S743" i="3"/>
  <c r="B743" i="3"/>
  <c r="AS742" i="3"/>
  <c r="AH742" i="3"/>
  <c r="AA742" i="3"/>
  <c r="Y742" i="3"/>
  <c r="V742" i="3"/>
  <c r="U742" i="3"/>
  <c r="T742" i="3"/>
  <c r="S742" i="3"/>
  <c r="B742" i="3"/>
  <c r="AS741" i="3"/>
  <c r="AH741" i="3"/>
  <c r="AA741" i="3"/>
  <c r="Y741" i="3"/>
  <c r="V741" i="3"/>
  <c r="U741" i="3"/>
  <c r="T741" i="3"/>
  <c r="S741" i="3"/>
  <c r="B741" i="3"/>
  <c r="AS740" i="3"/>
  <c r="AH740" i="3"/>
  <c r="AA740" i="3"/>
  <c r="Y740" i="3"/>
  <c r="V740" i="3"/>
  <c r="U740" i="3"/>
  <c r="T740" i="3"/>
  <c r="S740" i="3"/>
  <c r="B740" i="3"/>
  <c r="AS739" i="3"/>
  <c r="AH739" i="3"/>
  <c r="AA739" i="3"/>
  <c r="Y739" i="3"/>
  <c r="V739" i="3"/>
  <c r="U739" i="3"/>
  <c r="T739" i="3"/>
  <c r="S739" i="3"/>
  <c r="B739" i="3"/>
  <c r="AS738" i="3"/>
  <c r="AH738" i="3"/>
  <c r="AA738" i="3"/>
  <c r="Y738" i="3"/>
  <c r="V738" i="3"/>
  <c r="U738" i="3"/>
  <c r="T738" i="3"/>
  <c r="S738" i="3"/>
  <c r="B738" i="3"/>
  <c r="AS737" i="3"/>
  <c r="AH737" i="3"/>
  <c r="AA737" i="3"/>
  <c r="Y737" i="3"/>
  <c r="V737" i="3"/>
  <c r="U737" i="3"/>
  <c r="T737" i="3"/>
  <c r="S737" i="3"/>
  <c r="B737" i="3"/>
  <c r="AS736" i="3"/>
  <c r="AH736" i="3"/>
  <c r="AA736" i="3"/>
  <c r="Y736" i="3"/>
  <c r="V736" i="3"/>
  <c r="U736" i="3"/>
  <c r="T736" i="3"/>
  <c r="S736" i="3"/>
  <c r="B736" i="3"/>
  <c r="AS735" i="3"/>
  <c r="AH735" i="3"/>
  <c r="AA735" i="3"/>
  <c r="Y735" i="3"/>
  <c r="V735" i="3"/>
  <c r="U735" i="3"/>
  <c r="T735" i="3"/>
  <c r="S735" i="3"/>
  <c r="B735" i="3"/>
  <c r="AS734" i="3"/>
  <c r="AH734" i="3"/>
  <c r="AG734" i="3"/>
  <c r="AA734" i="3"/>
  <c r="Y734" i="3"/>
  <c r="V734" i="3"/>
  <c r="U734" i="3"/>
  <c r="T734" i="3"/>
  <c r="S734" i="3"/>
  <c r="B734" i="3"/>
  <c r="AS733" i="3"/>
  <c r="AH733" i="3"/>
  <c r="AA733" i="3"/>
  <c r="Y733" i="3"/>
  <c r="V733" i="3"/>
  <c r="U733" i="3"/>
  <c r="T733" i="3"/>
  <c r="S733" i="3"/>
  <c r="B733" i="3"/>
  <c r="AS732" i="3"/>
  <c r="AH732" i="3"/>
  <c r="AA732" i="3"/>
  <c r="Y732" i="3"/>
  <c r="V732" i="3"/>
  <c r="U732" i="3"/>
  <c r="T732" i="3"/>
  <c r="S732" i="3"/>
  <c r="B732" i="3"/>
  <c r="AS731" i="3"/>
  <c r="AH731" i="3"/>
  <c r="AA731" i="3"/>
  <c r="Y731" i="3"/>
  <c r="V731" i="3"/>
  <c r="U731" i="3"/>
  <c r="T731" i="3"/>
  <c r="S731" i="3"/>
  <c r="B731" i="3"/>
  <c r="AS730" i="3"/>
  <c r="AH730" i="3"/>
  <c r="AA730" i="3"/>
  <c r="Y730" i="3"/>
  <c r="V730" i="3"/>
  <c r="U730" i="3"/>
  <c r="T730" i="3"/>
  <c r="S730" i="3"/>
  <c r="K730" i="3"/>
  <c r="B730" i="3"/>
  <c r="AS729" i="3"/>
  <c r="AH729" i="3"/>
  <c r="AA729" i="3"/>
  <c r="Y729" i="3"/>
  <c r="V729" i="3"/>
  <c r="U729" i="3"/>
  <c r="T729" i="3"/>
  <c r="S729" i="3"/>
  <c r="K729" i="3"/>
  <c r="B729" i="3"/>
  <c r="AS728" i="3"/>
  <c r="AH728" i="3"/>
  <c r="AA728" i="3"/>
  <c r="Y728" i="3"/>
  <c r="V728" i="3"/>
  <c r="U728" i="3"/>
  <c r="T728" i="3"/>
  <c r="S728" i="3"/>
  <c r="K728" i="3"/>
  <c r="B728" i="3"/>
  <c r="AS727" i="3"/>
  <c r="AH727" i="3"/>
  <c r="AA727" i="3"/>
  <c r="Y727" i="3"/>
  <c r="V727" i="3"/>
  <c r="U727" i="3"/>
  <c r="T727" i="3"/>
  <c r="S727" i="3"/>
  <c r="B727" i="3"/>
  <c r="AS726" i="3"/>
  <c r="AH726" i="3"/>
  <c r="AA726" i="3"/>
  <c r="Y726" i="3"/>
  <c r="V726" i="3"/>
  <c r="U726" i="3"/>
  <c r="T726" i="3"/>
  <c r="S726" i="3"/>
  <c r="B726" i="3"/>
  <c r="AS725" i="3"/>
  <c r="AH725" i="3"/>
  <c r="AG725" i="3"/>
  <c r="AA725" i="3"/>
  <c r="Y725" i="3"/>
  <c r="V725" i="3"/>
  <c r="U725" i="3"/>
  <c r="T725" i="3"/>
  <c r="S725" i="3"/>
  <c r="B725" i="3"/>
  <c r="AS724" i="3"/>
  <c r="AH724" i="3"/>
  <c r="AA724" i="3"/>
  <c r="Y724" i="3"/>
  <c r="V724" i="3"/>
  <c r="U724" i="3"/>
  <c r="T724" i="3"/>
  <c r="S724" i="3"/>
  <c r="B724" i="3"/>
  <c r="AS723" i="3"/>
  <c r="AH723" i="3"/>
  <c r="AA723" i="3"/>
  <c r="Y723" i="3"/>
  <c r="V723" i="3"/>
  <c r="U723" i="3"/>
  <c r="T723" i="3"/>
  <c r="S723" i="3"/>
  <c r="B723" i="3"/>
  <c r="AS722" i="3"/>
  <c r="AH722" i="3"/>
  <c r="AA722" i="3"/>
  <c r="Y722" i="3"/>
  <c r="V722" i="3"/>
  <c r="U722" i="3"/>
  <c r="T722" i="3"/>
  <c r="S722" i="3"/>
  <c r="B722" i="3"/>
  <c r="AS721" i="3"/>
  <c r="AH721" i="3"/>
  <c r="AA721" i="3"/>
  <c r="Y721" i="3"/>
  <c r="V721" i="3"/>
  <c r="U721" i="3"/>
  <c r="T721" i="3"/>
  <c r="S721" i="3"/>
  <c r="B721" i="3"/>
  <c r="AS720" i="3"/>
  <c r="AH720" i="3"/>
  <c r="AA720" i="3"/>
  <c r="Y720" i="3"/>
  <c r="V720" i="3"/>
  <c r="U720" i="3"/>
  <c r="T720" i="3"/>
  <c r="S720" i="3"/>
  <c r="B720" i="3"/>
  <c r="AS719" i="3"/>
  <c r="AH719" i="3"/>
  <c r="AA719" i="3"/>
  <c r="Y719" i="3"/>
  <c r="V719" i="3"/>
  <c r="U719" i="3"/>
  <c r="T719" i="3"/>
  <c r="S719" i="3"/>
  <c r="B719" i="3"/>
  <c r="AS718" i="3"/>
  <c r="AH718" i="3"/>
  <c r="AA718" i="3"/>
  <c r="Y718" i="3"/>
  <c r="V718" i="3"/>
  <c r="U718" i="3"/>
  <c r="T718" i="3"/>
  <c r="S718" i="3"/>
  <c r="B718" i="3"/>
  <c r="AS717" i="3"/>
  <c r="AH717" i="3"/>
  <c r="AA717" i="3"/>
  <c r="Y717" i="3"/>
  <c r="V717" i="3"/>
  <c r="U717" i="3"/>
  <c r="T717" i="3"/>
  <c r="S717" i="3"/>
  <c r="B717" i="3"/>
  <c r="AS716" i="3"/>
  <c r="AH716" i="3"/>
  <c r="AA716" i="3"/>
  <c r="Y716" i="3"/>
  <c r="V716" i="3"/>
  <c r="U716" i="3"/>
  <c r="T716" i="3"/>
  <c r="S716" i="3"/>
  <c r="B716" i="3"/>
  <c r="AS715" i="3"/>
  <c r="AH715" i="3"/>
  <c r="AA715" i="3"/>
  <c r="Y715" i="3"/>
  <c r="V715" i="3"/>
  <c r="U715" i="3"/>
  <c r="T715" i="3"/>
  <c r="S715" i="3"/>
  <c r="B715" i="3"/>
  <c r="AS714" i="3"/>
  <c r="AH714" i="3"/>
  <c r="AA714" i="3"/>
  <c r="Y714" i="3"/>
  <c r="V714" i="3"/>
  <c r="U714" i="3"/>
  <c r="T714" i="3"/>
  <c r="S714" i="3"/>
  <c r="B714" i="3"/>
  <c r="AS713" i="3"/>
  <c r="AH713" i="3"/>
  <c r="AA713" i="3"/>
  <c r="Y713" i="3"/>
  <c r="V713" i="3"/>
  <c r="U713" i="3"/>
  <c r="T713" i="3"/>
  <c r="S713" i="3"/>
  <c r="B713" i="3"/>
  <c r="AS712" i="3"/>
  <c r="AH712" i="3"/>
  <c r="AA712" i="3"/>
  <c r="Y712" i="3"/>
  <c r="V712" i="3"/>
  <c r="U712" i="3"/>
  <c r="T712" i="3"/>
  <c r="S712" i="3"/>
  <c r="B712" i="3"/>
  <c r="AS711" i="3"/>
  <c r="AH711" i="3"/>
  <c r="AA711" i="3"/>
  <c r="Y711" i="3"/>
  <c r="V711" i="3"/>
  <c r="U711" i="3"/>
  <c r="T711" i="3"/>
  <c r="S711" i="3"/>
  <c r="B711" i="3"/>
  <c r="AS710" i="3"/>
  <c r="AH710" i="3"/>
  <c r="AA710" i="3"/>
  <c r="Y710" i="3"/>
  <c r="V710" i="3"/>
  <c r="U710" i="3"/>
  <c r="T710" i="3"/>
  <c r="S710" i="3"/>
  <c r="B710" i="3"/>
  <c r="AS709" i="3"/>
  <c r="AH709" i="3"/>
  <c r="AA709" i="3"/>
  <c r="Y709" i="3"/>
  <c r="V709" i="3"/>
  <c r="U709" i="3"/>
  <c r="T709" i="3"/>
  <c r="S709" i="3"/>
  <c r="B709" i="3"/>
  <c r="AS708" i="3"/>
  <c r="AH708" i="3"/>
  <c r="AA708" i="3"/>
  <c r="Y708" i="3"/>
  <c r="V708" i="3"/>
  <c r="T708" i="3"/>
  <c r="S708" i="3"/>
  <c r="B708" i="3"/>
  <c r="AS707" i="3"/>
  <c r="AH707" i="3"/>
  <c r="AA707" i="3"/>
  <c r="Y707" i="3"/>
  <c r="V707" i="3"/>
  <c r="T707" i="3"/>
  <c r="S707" i="3"/>
  <c r="B707" i="3"/>
  <c r="AS706" i="3"/>
  <c r="AH706" i="3"/>
  <c r="AA706" i="3"/>
  <c r="Y706" i="3"/>
  <c r="V706" i="3"/>
  <c r="T706" i="3"/>
  <c r="S706" i="3"/>
  <c r="B706" i="3"/>
  <c r="AS705" i="3"/>
  <c r="AH705" i="3"/>
  <c r="AA705" i="3"/>
  <c r="Y705" i="3"/>
  <c r="V705" i="3"/>
  <c r="U705" i="3"/>
  <c r="T705" i="3"/>
  <c r="S705" i="3"/>
  <c r="B705" i="3"/>
  <c r="AS704" i="3"/>
  <c r="AH704" i="3"/>
  <c r="AA704" i="3"/>
  <c r="Y704" i="3"/>
  <c r="V704" i="3"/>
  <c r="U704" i="3"/>
  <c r="T704" i="3"/>
  <c r="S704" i="3"/>
  <c r="B704" i="3"/>
  <c r="AS703" i="3"/>
  <c r="AH703" i="3"/>
  <c r="AA703" i="3"/>
  <c r="Y703" i="3"/>
  <c r="V703" i="3"/>
  <c r="U703" i="3"/>
  <c r="T703" i="3"/>
  <c r="S703" i="3"/>
  <c r="B703" i="3"/>
  <c r="AS702" i="3"/>
  <c r="AH702" i="3"/>
  <c r="AA702" i="3"/>
  <c r="Y702" i="3"/>
  <c r="V702" i="3"/>
  <c r="U702" i="3"/>
  <c r="T702" i="3"/>
  <c r="S702" i="3"/>
  <c r="B702" i="3"/>
  <c r="AS701" i="3"/>
  <c r="AR701" i="3"/>
  <c r="AH701" i="3"/>
  <c r="AA701" i="3"/>
  <c r="Y701" i="3"/>
  <c r="V701" i="3"/>
  <c r="U701" i="3"/>
  <c r="T701" i="3"/>
  <c r="S701" i="3"/>
  <c r="B701" i="3"/>
  <c r="AS700" i="3"/>
  <c r="AH700" i="3"/>
  <c r="AA700" i="3"/>
  <c r="Y700" i="3"/>
  <c r="V700" i="3"/>
  <c r="U700" i="3"/>
  <c r="T700" i="3"/>
  <c r="S700" i="3"/>
  <c r="B700" i="3"/>
  <c r="AS699" i="3"/>
  <c r="AH699" i="3"/>
  <c r="AA699" i="3"/>
  <c r="Y699" i="3"/>
  <c r="V699" i="3"/>
  <c r="U699" i="3"/>
  <c r="T699" i="3"/>
  <c r="S699" i="3"/>
  <c r="R699" i="3"/>
  <c r="Q699" i="3"/>
  <c r="L699" i="3"/>
  <c r="K699" i="3"/>
  <c r="J699" i="3"/>
  <c r="I699" i="3"/>
  <c r="AS698" i="3"/>
  <c r="AH698" i="3"/>
  <c r="AA698" i="3"/>
  <c r="Y698" i="3"/>
  <c r="V698" i="3"/>
  <c r="U698" i="3"/>
  <c r="T698" i="3"/>
  <c r="S698" i="3"/>
  <c r="K698" i="3"/>
  <c r="B698" i="3"/>
  <c r="AS697" i="3"/>
  <c r="AH697" i="3"/>
  <c r="AA697" i="3"/>
  <c r="Y697" i="3"/>
  <c r="V697" i="3"/>
  <c r="U697" i="3"/>
  <c r="T697" i="3"/>
  <c r="S697" i="3"/>
  <c r="K697" i="3"/>
  <c r="B697" i="3"/>
  <c r="AS696" i="3"/>
  <c r="AH696" i="3"/>
  <c r="AA696" i="3"/>
  <c r="Y696" i="3"/>
  <c r="V696" i="3"/>
  <c r="U696" i="3"/>
  <c r="T696" i="3"/>
  <c r="S696" i="3"/>
  <c r="K696" i="3"/>
  <c r="B696" i="3"/>
  <c r="AS695" i="3"/>
  <c r="AH695" i="3"/>
  <c r="AA695" i="3"/>
  <c r="Y695" i="3"/>
  <c r="V695" i="3"/>
  <c r="U695" i="3"/>
  <c r="T695" i="3"/>
  <c r="S695" i="3"/>
  <c r="K695" i="3"/>
  <c r="B695" i="3"/>
  <c r="AS694" i="3"/>
  <c r="AH694" i="3"/>
  <c r="AA694" i="3"/>
  <c r="Y694" i="3"/>
  <c r="V694" i="3"/>
  <c r="U694" i="3"/>
  <c r="T694" i="3"/>
  <c r="S694" i="3"/>
  <c r="B694" i="3"/>
  <c r="AS693" i="3"/>
  <c r="AH693" i="3"/>
  <c r="AA693" i="3"/>
  <c r="Y693" i="3"/>
  <c r="V693" i="3"/>
  <c r="U693" i="3"/>
  <c r="T693" i="3"/>
  <c r="S693" i="3"/>
  <c r="B693" i="3"/>
  <c r="AS692" i="3"/>
  <c r="AH692" i="3"/>
  <c r="AA692" i="3"/>
  <c r="Y692" i="3"/>
  <c r="V692" i="3"/>
  <c r="U692" i="3"/>
  <c r="T692" i="3"/>
  <c r="S692" i="3"/>
  <c r="B692" i="3"/>
  <c r="AS691" i="3"/>
  <c r="AH691" i="3"/>
  <c r="AA691" i="3"/>
  <c r="Y691" i="3"/>
  <c r="V691" i="3"/>
  <c r="U691" i="3"/>
  <c r="T691" i="3"/>
  <c r="S691" i="3"/>
  <c r="B691" i="3"/>
  <c r="AS690" i="3"/>
  <c r="AH690" i="3"/>
  <c r="AA690" i="3"/>
  <c r="Y690" i="3"/>
  <c r="V690" i="3"/>
  <c r="U690" i="3"/>
  <c r="T690" i="3"/>
  <c r="S690" i="3"/>
  <c r="B690" i="3"/>
  <c r="AS689" i="3"/>
  <c r="AH689" i="3"/>
  <c r="AA689" i="3"/>
  <c r="Y689" i="3"/>
  <c r="V689" i="3"/>
  <c r="U689" i="3"/>
  <c r="T689" i="3"/>
  <c r="S689" i="3"/>
  <c r="B689" i="3"/>
  <c r="AS688" i="3"/>
  <c r="AH688" i="3"/>
  <c r="AG688" i="3"/>
  <c r="AA688" i="3"/>
  <c r="Y688" i="3"/>
  <c r="V688" i="3"/>
  <c r="U688" i="3"/>
  <c r="T688" i="3"/>
  <c r="S688" i="3"/>
  <c r="B688" i="3"/>
  <c r="AS687" i="3"/>
  <c r="AH687" i="3"/>
  <c r="AA687" i="3"/>
  <c r="Y687" i="3"/>
  <c r="V687" i="3"/>
  <c r="U687" i="3"/>
  <c r="T687" i="3"/>
  <c r="S687" i="3"/>
  <c r="B687" i="3"/>
  <c r="AS686" i="3"/>
  <c r="AH686" i="3"/>
  <c r="AA686" i="3"/>
  <c r="Y686" i="3"/>
  <c r="V686" i="3"/>
  <c r="U686" i="3"/>
  <c r="T686" i="3"/>
  <c r="S686" i="3"/>
  <c r="B686" i="3"/>
  <c r="AS685" i="3"/>
  <c r="AH685" i="3"/>
  <c r="AA685" i="3"/>
  <c r="Y685" i="3"/>
  <c r="V685" i="3"/>
  <c r="U685" i="3"/>
  <c r="T685" i="3"/>
  <c r="S685" i="3"/>
  <c r="B685" i="3"/>
  <c r="AS684" i="3"/>
  <c r="AH684" i="3"/>
  <c r="AA684" i="3"/>
  <c r="Y684" i="3"/>
  <c r="V684" i="3"/>
  <c r="U684" i="3"/>
  <c r="T684" i="3"/>
  <c r="S684" i="3"/>
  <c r="B684" i="3"/>
  <c r="AS683" i="3"/>
  <c r="AH683" i="3"/>
  <c r="AG683" i="3"/>
  <c r="AA683" i="3"/>
  <c r="Y683" i="3"/>
  <c r="V683" i="3"/>
  <c r="U683" i="3"/>
  <c r="T683" i="3"/>
  <c r="S683" i="3"/>
  <c r="B683" i="3"/>
  <c r="AS682" i="3"/>
  <c r="AH682" i="3"/>
  <c r="AA682" i="3"/>
  <c r="Y682" i="3"/>
  <c r="V682" i="3"/>
  <c r="U682" i="3"/>
  <c r="T682" i="3"/>
  <c r="S682" i="3"/>
  <c r="B682" i="3"/>
  <c r="AS681" i="3"/>
  <c r="AH681" i="3"/>
  <c r="AA681" i="3"/>
  <c r="Y681" i="3"/>
  <c r="V681" i="3"/>
  <c r="U681" i="3"/>
  <c r="T681" i="3"/>
  <c r="S681" i="3"/>
  <c r="R681" i="3"/>
  <c r="Q681" i="3"/>
  <c r="L681" i="3"/>
  <c r="K681" i="3"/>
  <c r="J681" i="3"/>
  <c r="I681" i="3"/>
  <c r="AS680" i="3"/>
  <c r="AR680" i="3"/>
  <c r="AH680" i="3"/>
  <c r="AA680" i="3"/>
  <c r="Y680" i="3"/>
  <c r="V680" i="3"/>
  <c r="U680" i="3"/>
  <c r="T680" i="3"/>
  <c r="S680" i="3"/>
  <c r="B680" i="3"/>
  <c r="AS679" i="3"/>
  <c r="AR679" i="3"/>
  <c r="AH679" i="3"/>
  <c r="AA679" i="3"/>
  <c r="Y679" i="3"/>
  <c r="V679" i="3"/>
  <c r="U679" i="3"/>
  <c r="T679" i="3"/>
  <c r="S679" i="3"/>
  <c r="B679" i="3"/>
  <c r="AS678" i="3"/>
  <c r="AH678" i="3"/>
  <c r="AA678" i="3"/>
  <c r="Y678" i="3"/>
  <c r="V678" i="3"/>
  <c r="U678" i="3"/>
  <c r="T678" i="3"/>
  <c r="S678" i="3"/>
  <c r="B678" i="3"/>
  <c r="AS677" i="3"/>
  <c r="AH677" i="3"/>
  <c r="AA677" i="3"/>
  <c r="Y677" i="3"/>
  <c r="V677" i="3"/>
  <c r="U677" i="3"/>
  <c r="T677" i="3"/>
  <c r="S677" i="3"/>
  <c r="B677" i="3"/>
  <c r="AS676" i="3"/>
  <c r="AH676" i="3"/>
  <c r="AA676" i="3"/>
  <c r="Y676" i="3"/>
  <c r="V676" i="3"/>
  <c r="U676" i="3"/>
  <c r="T676" i="3"/>
  <c r="S676" i="3"/>
  <c r="B676" i="3"/>
  <c r="AS675" i="3"/>
  <c r="AH675" i="3"/>
  <c r="AA675" i="3"/>
  <c r="Y675" i="3"/>
  <c r="V675" i="3"/>
  <c r="U675" i="3"/>
  <c r="T675" i="3"/>
  <c r="S675" i="3"/>
  <c r="B675" i="3"/>
  <c r="AS674" i="3"/>
  <c r="AH674" i="3"/>
  <c r="AA674" i="3"/>
  <c r="Y674" i="3"/>
  <c r="V674" i="3"/>
  <c r="U674" i="3"/>
  <c r="T674" i="3"/>
  <c r="S674" i="3"/>
  <c r="B674" i="3"/>
  <c r="AS673" i="3"/>
  <c r="AH673" i="3"/>
  <c r="AA673" i="3"/>
  <c r="Y673" i="3"/>
  <c r="V673" i="3"/>
  <c r="U673" i="3"/>
  <c r="T673" i="3"/>
  <c r="S673" i="3"/>
  <c r="B673" i="3"/>
  <c r="AS672" i="3"/>
  <c r="AH672" i="3"/>
  <c r="AA672" i="3"/>
  <c r="Y672" i="3"/>
  <c r="V672" i="3"/>
  <c r="U672" i="3"/>
  <c r="T672" i="3"/>
  <c r="S672" i="3"/>
  <c r="B672" i="3"/>
  <c r="AS671" i="3"/>
  <c r="AH671" i="3"/>
  <c r="AA671" i="3"/>
  <c r="Y671" i="3"/>
  <c r="V671" i="3"/>
  <c r="U671" i="3"/>
  <c r="T671" i="3"/>
  <c r="S671" i="3"/>
  <c r="B671" i="3"/>
  <c r="AS670" i="3"/>
  <c r="AH670" i="3"/>
  <c r="AA670" i="3"/>
  <c r="Y670" i="3"/>
  <c r="V670" i="3"/>
  <c r="U670" i="3"/>
  <c r="T670" i="3"/>
  <c r="S670" i="3"/>
  <c r="B670" i="3"/>
  <c r="AS669" i="3"/>
  <c r="AH669" i="3"/>
  <c r="AA669" i="3"/>
  <c r="Y669" i="3"/>
  <c r="V669" i="3"/>
  <c r="U669" i="3"/>
  <c r="T669" i="3"/>
  <c r="S669" i="3"/>
  <c r="B669" i="3"/>
  <c r="AS668" i="3"/>
  <c r="AH668" i="3"/>
  <c r="AA668" i="3"/>
  <c r="Y668" i="3"/>
  <c r="V668" i="3"/>
  <c r="U668" i="3"/>
  <c r="T668" i="3"/>
  <c r="S668" i="3"/>
  <c r="B668" i="3"/>
  <c r="AS667" i="3"/>
  <c r="AH667" i="3"/>
  <c r="AA667" i="3"/>
  <c r="Y667" i="3"/>
  <c r="V667" i="3"/>
  <c r="U667" i="3"/>
  <c r="T667" i="3"/>
  <c r="S667" i="3"/>
  <c r="B667" i="3"/>
  <c r="AS666" i="3"/>
  <c r="AH666" i="3"/>
  <c r="AA666" i="3"/>
  <c r="Y666" i="3"/>
  <c r="V666" i="3"/>
  <c r="U666" i="3"/>
  <c r="T666" i="3"/>
  <c r="S666" i="3"/>
  <c r="B666" i="3"/>
  <c r="AS665" i="3"/>
  <c r="AH665" i="3"/>
  <c r="AA665" i="3"/>
  <c r="Y665" i="3"/>
  <c r="V665" i="3"/>
  <c r="U665" i="3"/>
  <c r="T665" i="3"/>
  <c r="S665" i="3"/>
  <c r="B665" i="3"/>
  <c r="AS664" i="3"/>
  <c r="AH664" i="3"/>
  <c r="AA664" i="3"/>
  <c r="Y664" i="3"/>
  <c r="V664" i="3"/>
  <c r="U664" i="3"/>
  <c r="T664" i="3"/>
  <c r="S664" i="3"/>
  <c r="B664" i="3"/>
  <c r="AS663" i="3"/>
  <c r="AH663" i="3"/>
  <c r="AA663" i="3"/>
  <c r="Y663" i="3"/>
  <c r="V663" i="3"/>
  <c r="U663" i="3"/>
  <c r="T663" i="3"/>
  <c r="S663" i="3"/>
  <c r="B663" i="3"/>
  <c r="AS662" i="3"/>
  <c r="AH662" i="3"/>
  <c r="AA662" i="3"/>
  <c r="Y662" i="3"/>
  <c r="V662" i="3"/>
  <c r="U662" i="3"/>
  <c r="T662" i="3"/>
  <c r="S662" i="3"/>
  <c r="B662" i="3"/>
  <c r="AS661" i="3"/>
  <c r="AH661" i="3"/>
  <c r="AA661" i="3"/>
  <c r="Y661" i="3"/>
  <c r="V661" i="3"/>
  <c r="U661" i="3"/>
  <c r="T661" i="3"/>
  <c r="S661" i="3"/>
  <c r="B661" i="3"/>
  <c r="AS660" i="3"/>
  <c r="AH660" i="3"/>
  <c r="AA660" i="3"/>
  <c r="Y660" i="3"/>
  <c r="V660" i="3"/>
  <c r="U660" i="3"/>
  <c r="T660" i="3"/>
  <c r="S660" i="3"/>
  <c r="B660" i="3"/>
  <c r="AS659" i="3"/>
  <c r="AH659" i="3"/>
  <c r="AA659" i="3"/>
  <c r="Y659" i="3"/>
  <c r="V659" i="3"/>
  <c r="U659" i="3"/>
  <c r="T659" i="3"/>
  <c r="S659" i="3"/>
  <c r="B659" i="3"/>
  <c r="AS658" i="3"/>
  <c r="AH658" i="3"/>
  <c r="AA658" i="3"/>
  <c r="Y658" i="3"/>
  <c r="V658" i="3"/>
  <c r="U658" i="3"/>
  <c r="T658" i="3"/>
  <c r="S658" i="3"/>
  <c r="B658" i="3"/>
  <c r="AS657" i="3"/>
  <c r="AH657" i="3"/>
  <c r="AG657" i="3"/>
  <c r="AA657" i="3"/>
  <c r="Y657" i="3"/>
  <c r="V657" i="3"/>
  <c r="U657" i="3"/>
  <c r="T657" i="3"/>
  <c r="S657" i="3"/>
  <c r="B657" i="3"/>
  <c r="AS656" i="3"/>
  <c r="AH656" i="3"/>
  <c r="AA656" i="3"/>
  <c r="Y656" i="3"/>
  <c r="V656" i="3"/>
  <c r="U656" i="3"/>
  <c r="T656" i="3"/>
  <c r="S656" i="3"/>
  <c r="B656" i="3"/>
  <c r="AS655" i="3"/>
  <c r="AH655" i="3"/>
  <c r="AA655" i="3"/>
  <c r="Y655" i="3"/>
  <c r="V655" i="3"/>
  <c r="U655" i="3"/>
  <c r="T655" i="3"/>
  <c r="S655" i="3"/>
  <c r="B655" i="3"/>
  <c r="AS654" i="3"/>
  <c r="AH654" i="3"/>
  <c r="AG654" i="3"/>
  <c r="AA654" i="3"/>
  <c r="Y654" i="3"/>
  <c r="V654" i="3"/>
  <c r="U654" i="3"/>
  <c r="T654" i="3"/>
  <c r="S654" i="3"/>
  <c r="B654" i="3"/>
  <c r="AS653" i="3"/>
  <c r="AH653" i="3"/>
  <c r="AA653" i="3"/>
  <c r="Y653" i="3"/>
  <c r="V653" i="3"/>
  <c r="U653" i="3"/>
  <c r="T653" i="3"/>
  <c r="S653" i="3"/>
  <c r="B653" i="3"/>
  <c r="AS652" i="3"/>
  <c r="AH652" i="3"/>
  <c r="AA652" i="3"/>
  <c r="Y652" i="3"/>
  <c r="V652" i="3"/>
  <c r="U652" i="3"/>
  <c r="T652" i="3"/>
  <c r="S652" i="3"/>
  <c r="B652" i="3"/>
  <c r="AS651" i="3"/>
  <c r="AH651" i="3"/>
  <c r="AA651" i="3"/>
  <c r="Y651" i="3"/>
  <c r="V651" i="3"/>
  <c r="U651" i="3"/>
  <c r="T651" i="3"/>
  <c r="S651" i="3"/>
  <c r="B651" i="3"/>
  <c r="AS650" i="3"/>
  <c r="AH650" i="3"/>
  <c r="AA650" i="3"/>
  <c r="Y650" i="3"/>
  <c r="V650" i="3"/>
  <c r="U650" i="3"/>
  <c r="T650" i="3"/>
  <c r="S650" i="3"/>
  <c r="B650" i="3"/>
  <c r="AS649" i="3"/>
  <c r="AH649" i="3"/>
  <c r="AA649" i="3"/>
  <c r="Y649" i="3"/>
  <c r="V649" i="3"/>
  <c r="U649" i="3"/>
  <c r="T649" i="3"/>
  <c r="S649" i="3"/>
  <c r="B649" i="3"/>
  <c r="AS648" i="3"/>
  <c r="AH648" i="3"/>
  <c r="AA648" i="3"/>
  <c r="Y648" i="3"/>
  <c r="V648" i="3"/>
  <c r="U648" i="3"/>
  <c r="T648" i="3"/>
  <c r="S648" i="3"/>
  <c r="B648" i="3"/>
  <c r="AS647" i="3"/>
  <c r="AR647" i="3"/>
  <c r="AH647" i="3"/>
  <c r="AA647" i="3"/>
  <c r="Y647" i="3"/>
  <c r="V647" i="3"/>
  <c r="U647" i="3"/>
  <c r="T647" i="3"/>
  <c r="S647" i="3"/>
  <c r="B647" i="3"/>
  <c r="AS646" i="3"/>
  <c r="AH646" i="3"/>
  <c r="AA646" i="3"/>
  <c r="Y646" i="3"/>
  <c r="V646" i="3"/>
  <c r="U646" i="3"/>
  <c r="T646" i="3"/>
  <c r="S646" i="3"/>
  <c r="B646" i="3"/>
  <c r="AS645" i="3"/>
  <c r="AH645" i="3"/>
  <c r="AA645" i="3"/>
  <c r="Y645" i="3"/>
  <c r="V645" i="3"/>
  <c r="U645" i="3"/>
  <c r="T645" i="3"/>
  <c r="S645" i="3"/>
  <c r="B645" i="3"/>
  <c r="AS644" i="3"/>
  <c r="AH644" i="3"/>
  <c r="AA644" i="3"/>
  <c r="Y644" i="3"/>
  <c r="V644" i="3"/>
  <c r="U644" i="3"/>
  <c r="T644" i="3"/>
  <c r="S644" i="3"/>
  <c r="B644" i="3"/>
  <c r="AS643" i="3"/>
  <c r="AH643" i="3"/>
  <c r="AA643" i="3"/>
  <c r="Y643" i="3"/>
  <c r="V643" i="3"/>
  <c r="U643" i="3"/>
  <c r="T643" i="3"/>
  <c r="S643" i="3"/>
  <c r="B643" i="3"/>
  <c r="AS642" i="3"/>
  <c r="AH642" i="3"/>
  <c r="AA642" i="3"/>
  <c r="Y642" i="3"/>
  <c r="V642" i="3"/>
  <c r="U642" i="3"/>
  <c r="T642" i="3"/>
  <c r="S642" i="3"/>
  <c r="B642" i="3"/>
  <c r="AS641" i="3"/>
  <c r="AH641" i="3"/>
  <c r="AA641" i="3"/>
  <c r="Y641" i="3"/>
  <c r="V641" i="3"/>
  <c r="U641" i="3"/>
  <c r="T641" i="3"/>
  <c r="S641" i="3"/>
  <c r="B641" i="3"/>
  <c r="AS640" i="3"/>
  <c r="AH640" i="3"/>
  <c r="AA640" i="3"/>
  <c r="Y640" i="3"/>
  <c r="V640" i="3"/>
  <c r="U640" i="3"/>
  <c r="T640" i="3"/>
  <c r="S640" i="3"/>
  <c r="B640" i="3"/>
  <c r="AS639" i="3"/>
  <c r="AH639" i="3"/>
  <c r="AA639" i="3"/>
  <c r="Y639" i="3"/>
  <c r="V639" i="3"/>
  <c r="U639" i="3"/>
  <c r="T639" i="3"/>
  <c r="S639" i="3"/>
  <c r="B639" i="3"/>
  <c r="AS638" i="3"/>
  <c r="AH638" i="3"/>
  <c r="AA638" i="3"/>
  <c r="Y638" i="3"/>
  <c r="V638" i="3"/>
  <c r="U638" i="3"/>
  <c r="T638" i="3"/>
  <c r="S638" i="3"/>
  <c r="B638" i="3"/>
  <c r="AS637" i="3"/>
  <c r="AH637" i="3"/>
  <c r="AA637" i="3"/>
  <c r="Y637" i="3"/>
  <c r="V637" i="3"/>
  <c r="U637" i="3"/>
  <c r="T637" i="3"/>
  <c r="S637" i="3"/>
  <c r="B637" i="3"/>
  <c r="AS636" i="3"/>
  <c r="AH636" i="3"/>
  <c r="AA636" i="3"/>
  <c r="Y636" i="3"/>
  <c r="V636" i="3"/>
  <c r="U636" i="3"/>
  <c r="T636" i="3"/>
  <c r="S636" i="3"/>
  <c r="B636" i="3"/>
  <c r="AS635" i="3"/>
  <c r="AH635" i="3"/>
  <c r="AA635" i="3"/>
  <c r="Y635" i="3"/>
  <c r="V635" i="3"/>
  <c r="U635" i="3"/>
  <c r="T635" i="3"/>
  <c r="S635" i="3"/>
  <c r="B635" i="3"/>
  <c r="AS634" i="3"/>
  <c r="AH634" i="3"/>
  <c r="AA634" i="3"/>
  <c r="Y634" i="3"/>
  <c r="V634" i="3"/>
  <c r="U634" i="3"/>
  <c r="T634" i="3"/>
  <c r="S634" i="3"/>
  <c r="B634" i="3"/>
  <c r="AS633" i="3"/>
  <c r="AH633" i="3"/>
  <c r="AA633" i="3"/>
  <c r="Y633" i="3"/>
  <c r="V633" i="3"/>
  <c r="U633" i="3"/>
  <c r="T633" i="3"/>
  <c r="S633" i="3"/>
  <c r="B633" i="3"/>
  <c r="AS632" i="3"/>
  <c r="AH632" i="3"/>
  <c r="AA632" i="3"/>
  <c r="Y632" i="3"/>
  <c r="V632" i="3"/>
  <c r="U632" i="3"/>
  <c r="T632" i="3"/>
  <c r="S632" i="3"/>
  <c r="B632" i="3"/>
  <c r="AS631" i="3"/>
  <c r="AH631" i="3"/>
  <c r="AA631" i="3"/>
  <c r="Y631" i="3"/>
  <c r="V631" i="3"/>
  <c r="U631" i="3"/>
  <c r="T631" i="3"/>
  <c r="S631" i="3"/>
  <c r="B631" i="3"/>
  <c r="AS630" i="3"/>
  <c r="AH630" i="3"/>
  <c r="AA630" i="3"/>
  <c r="Y630" i="3"/>
  <c r="V630" i="3"/>
  <c r="U630" i="3"/>
  <c r="T630" i="3"/>
  <c r="S630" i="3"/>
  <c r="B630" i="3"/>
  <c r="AS629" i="3"/>
  <c r="AH629" i="3"/>
  <c r="AA629" i="3"/>
  <c r="Y629" i="3"/>
  <c r="V629" i="3"/>
  <c r="U629" i="3"/>
  <c r="T629" i="3"/>
  <c r="S629" i="3"/>
  <c r="B629" i="3"/>
  <c r="AS628" i="3"/>
  <c r="AH628" i="3"/>
  <c r="AA628" i="3"/>
  <c r="Y628" i="3"/>
  <c r="V628" i="3"/>
  <c r="U628" i="3"/>
  <c r="T628" i="3"/>
  <c r="S628" i="3"/>
  <c r="B628" i="3"/>
  <c r="AS627" i="3"/>
  <c r="AH627" i="3"/>
  <c r="AA627" i="3"/>
  <c r="Y627" i="3"/>
  <c r="V627" i="3"/>
  <c r="U627" i="3"/>
  <c r="T627" i="3"/>
  <c r="S627" i="3"/>
  <c r="B627" i="3"/>
  <c r="AS626" i="3"/>
  <c r="AH626" i="3"/>
  <c r="AA626" i="3"/>
  <c r="Y626" i="3"/>
  <c r="V626" i="3"/>
  <c r="U626" i="3"/>
  <c r="T626" i="3"/>
  <c r="S626" i="3"/>
  <c r="B626" i="3"/>
  <c r="AS625" i="3"/>
  <c r="AH625" i="3"/>
  <c r="AA625" i="3"/>
  <c r="Y625" i="3"/>
  <c r="V625" i="3"/>
  <c r="U625" i="3"/>
  <c r="T625" i="3"/>
  <c r="S625" i="3"/>
  <c r="B625" i="3"/>
  <c r="AS624" i="3"/>
  <c r="AH624" i="3"/>
  <c r="AA624" i="3"/>
  <c r="Y624" i="3"/>
  <c r="V624" i="3"/>
  <c r="U624" i="3"/>
  <c r="T624" i="3"/>
  <c r="S624" i="3"/>
  <c r="B624" i="3"/>
  <c r="AS623" i="3"/>
  <c r="AH623" i="3"/>
  <c r="AA623" i="3"/>
  <c r="Y623" i="3"/>
  <c r="V623" i="3"/>
  <c r="U623" i="3"/>
  <c r="T623" i="3"/>
  <c r="S623" i="3"/>
  <c r="B623" i="3"/>
  <c r="AS622" i="3"/>
  <c r="AH622" i="3"/>
  <c r="AA622" i="3"/>
  <c r="Y622" i="3"/>
  <c r="V622" i="3"/>
  <c r="U622" i="3"/>
  <c r="T622" i="3"/>
  <c r="S622" i="3"/>
  <c r="B622" i="3"/>
  <c r="AS621" i="3"/>
  <c r="AH621" i="3"/>
  <c r="AG621" i="3"/>
  <c r="AA621" i="3"/>
  <c r="Y621" i="3"/>
  <c r="V621" i="3"/>
  <c r="U621" i="3"/>
  <c r="T621" i="3"/>
  <c r="S621" i="3"/>
  <c r="B621" i="3"/>
  <c r="AS620" i="3"/>
  <c r="AH620" i="3"/>
  <c r="AA620" i="3"/>
  <c r="Y620" i="3"/>
  <c r="V620" i="3"/>
  <c r="U620" i="3"/>
  <c r="T620" i="3"/>
  <c r="S620" i="3"/>
  <c r="B620" i="3"/>
  <c r="AS619" i="3"/>
  <c r="AH619" i="3"/>
  <c r="AA619" i="3"/>
  <c r="Y619" i="3"/>
  <c r="V619" i="3"/>
  <c r="U619" i="3"/>
  <c r="T619" i="3"/>
  <c r="S619" i="3"/>
  <c r="B619" i="3"/>
  <c r="AS618" i="3"/>
  <c r="AH618" i="3"/>
  <c r="AG618" i="3"/>
  <c r="AA618" i="3"/>
  <c r="Y618" i="3"/>
  <c r="V618" i="3"/>
  <c r="U618" i="3"/>
  <c r="T618" i="3"/>
  <c r="S618" i="3"/>
  <c r="B618" i="3"/>
  <c r="AS617" i="3"/>
  <c r="AH617" i="3"/>
  <c r="AA617" i="3"/>
  <c r="Y617" i="3"/>
  <c r="V617" i="3"/>
  <c r="U617" i="3"/>
  <c r="T617" i="3"/>
  <c r="S617" i="3"/>
  <c r="B617" i="3"/>
  <c r="AS616" i="3"/>
  <c r="AH616" i="3"/>
  <c r="AA616" i="3"/>
  <c r="Y616" i="3"/>
  <c r="V616" i="3"/>
  <c r="U616" i="3"/>
  <c r="T616" i="3"/>
  <c r="S616" i="3"/>
  <c r="B616" i="3"/>
  <c r="AS615" i="3"/>
  <c r="AH615" i="3"/>
  <c r="AG615" i="3"/>
  <c r="AA615" i="3"/>
  <c r="Y615" i="3"/>
  <c r="V615" i="3"/>
  <c r="U615" i="3"/>
  <c r="T615" i="3"/>
  <c r="S615" i="3"/>
  <c r="B615" i="3"/>
  <c r="AS614" i="3"/>
  <c r="AH614" i="3"/>
  <c r="AA614" i="3"/>
  <c r="Y614" i="3"/>
  <c r="V614" i="3"/>
  <c r="U614" i="3"/>
  <c r="T614" i="3"/>
  <c r="S614" i="3"/>
  <c r="B614" i="3"/>
  <c r="AS613" i="3"/>
  <c r="AH613" i="3"/>
  <c r="AG613" i="3"/>
  <c r="AA613" i="3"/>
  <c r="Y613" i="3"/>
  <c r="V613" i="3"/>
  <c r="U613" i="3"/>
  <c r="T613" i="3"/>
  <c r="S613" i="3"/>
  <c r="B613" i="3"/>
  <c r="AS612" i="3"/>
  <c r="AH612" i="3"/>
  <c r="AA612" i="3"/>
  <c r="Y612" i="3"/>
  <c r="V612" i="3"/>
  <c r="U612" i="3"/>
  <c r="T612" i="3"/>
  <c r="S612" i="3"/>
  <c r="B612" i="3"/>
  <c r="AS611" i="3"/>
  <c r="AH611" i="3"/>
  <c r="AA611" i="3"/>
  <c r="Y611" i="3"/>
  <c r="V611" i="3"/>
  <c r="U611" i="3"/>
  <c r="T611" i="3"/>
  <c r="S611" i="3"/>
  <c r="B611" i="3"/>
  <c r="AS610" i="3"/>
  <c r="AH610" i="3"/>
  <c r="AA610" i="3"/>
  <c r="Y610" i="3"/>
  <c r="V610" i="3"/>
  <c r="U610" i="3"/>
  <c r="T610" i="3"/>
  <c r="S610" i="3"/>
  <c r="B610" i="3"/>
  <c r="AS609" i="3"/>
  <c r="AH609" i="3"/>
  <c r="AA609" i="3"/>
  <c r="Y609" i="3"/>
  <c r="V609" i="3"/>
  <c r="U609" i="3"/>
  <c r="T609" i="3"/>
  <c r="S609" i="3"/>
  <c r="B609" i="3"/>
  <c r="AS608" i="3"/>
  <c r="AH608" i="3"/>
  <c r="AG608" i="3"/>
  <c r="AA608" i="3"/>
  <c r="Y608" i="3"/>
  <c r="V608" i="3"/>
  <c r="U608" i="3"/>
  <c r="T608" i="3"/>
  <c r="S608" i="3"/>
  <c r="B608" i="3"/>
  <c r="AS607" i="3"/>
  <c r="AH607" i="3"/>
  <c r="AG607" i="3"/>
  <c r="AA607" i="3"/>
  <c r="Y607" i="3"/>
  <c r="V607" i="3"/>
  <c r="U607" i="3"/>
  <c r="T607" i="3"/>
  <c r="S607" i="3"/>
  <c r="B607" i="3"/>
  <c r="AS606" i="3"/>
  <c r="AH606" i="3"/>
  <c r="AA606" i="3"/>
  <c r="Y606" i="3"/>
  <c r="V606" i="3"/>
  <c r="U606" i="3"/>
  <c r="T606" i="3"/>
  <c r="S606" i="3"/>
  <c r="B606" i="3"/>
  <c r="AS605" i="3"/>
  <c r="AH605" i="3"/>
  <c r="AG605" i="3"/>
  <c r="AA605" i="3"/>
  <c r="Y605" i="3"/>
  <c r="V605" i="3"/>
  <c r="U605" i="3"/>
  <c r="T605" i="3"/>
  <c r="S605" i="3"/>
  <c r="B605" i="3"/>
  <c r="AS604" i="3"/>
  <c r="AH604" i="3"/>
  <c r="AG604" i="3"/>
  <c r="AA604" i="3"/>
  <c r="Y604" i="3"/>
  <c r="V604" i="3"/>
  <c r="U604" i="3"/>
  <c r="T604" i="3"/>
  <c r="S604" i="3"/>
  <c r="B604" i="3"/>
  <c r="AS603" i="3"/>
  <c r="AH603" i="3"/>
  <c r="AA603" i="3"/>
  <c r="Y603" i="3"/>
  <c r="V603" i="3"/>
  <c r="U603" i="3"/>
  <c r="T603" i="3"/>
  <c r="S603" i="3"/>
  <c r="B603" i="3"/>
  <c r="AS602" i="3"/>
  <c r="AH602" i="3"/>
  <c r="AA602" i="3"/>
  <c r="Y602" i="3"/>
  <c r="V602" i="3"/>
  <c r="U602" i="3"/>
  <c r="T602" i="3"/>
  <c r="S602" i="3"/>
  <c r="B602" i="3"/>
  <c r="AS601" i="3"/>
  <c r="AH601" i="3"/>
  <c r="AA601" i="3"/>
  <c r="Y601" i="3"/>
  <c r="V601" i="3"/>
  <c r="U601" i="3"/>
  <c r="T601" i="3"/>
  <c r="S601" i="3"/>
  <c r="B601" i="3"/>
  <c r="AS600" i="3"/>
  <c r="AH600" i="3"/>
  <c r="AA600" i="3"/>
  <c r="Y600" i="3"/>
  <c r="V600" i="3"/>
  <c r="U600" i="3"/>
  <c r="T600" i="3"/>
  <c r="S600" i="3"/>
  <c r="B600" i="3"/>
  <c r="AS599" i="3"/>
  <c r="AH599" i="3"/>
  <c r="AA599" i="3"/>
  <c r="Y599" i="3"/>
  <c r="V599" i="3"/>
  <c r="U599" i="3"/>
  <c r="T599" i="3"/>
  <c r="S599" i="3"/>
  <c r="B599" i="3"/>
  <c r="AS598" i="3"/>
  <c r="AH598" i="3"/>
  <c r="AA598" i="3"/>
  <c r="Y598" i="3"/>
  <c r="V598" i="3"/>
  <c r="U598" i="3"/>
  <c r="T598" i="3"/>
  <c r="S598" i="3"/>
  <c r="B598" i="3"/>
  <c r="AS597" i="3"/>
  <c r="AH597" i="3"/>
  <c r="AA597" i="3"/>
  <c r="Y597" i="3"/>
  <c r="V597" i="3"/>
  <c r="U597" i="3"/>
  <c r="T597" i="3"/>
  <c r="S597" i="3"/>
  <c r="B597" i="3"/>
  <c r="AS596" i="3"/>
  <c r="AH596" i="3"/>
  <c r="AA596" i="3"/>
  <c r="Y596" i="3"/>
  <c r="V596" i="3"/>
  <c r="U596" i="3"/>
  <c r="T596" i="3"/>
  <c r="S596" i="3"/>
  <c r="B596" i="3"/>
  <c r="AS595" i="3"/>
  <c r="AH595" i="3"/>
  <c r="AA595" i="3"/>
  <c r="Y595" i="3"/>
  <c r="V595" i="3"/>
  <c r="U595" i="3"/>
  <c r="T595" i="3"/>
  <c r="S595" i="3"/>
  <c r="B595" i="3"/>
  <c r="AS594" i="3"/>
  <c r="AH594" i="3"/>
  <c r="AA594" i="3"/>
  <c r="Y594" i="3"/>
  <c r="V594" i="3"/>
  <c r="U594" i="3"/>
  <c r="T594" i="3"/>
  <c r="S594" i="3"/>
  <c r="B594" i="3"/>
  <c r="AS593" i="3"/>
  <c r="AH593" i="3"/>
  <c r="AA593" i="3"/>
  <c r="Y593" i="3"/>
  <c r="V593" i="3"/>
  <c r="U593" i="3"/>
  <c r="T593" i="3"/>
  <c r="S593" i="3"/>
  <c r="B593" i="3"/>
  <c r="AS592" i="3"/>
  <c r="AH592" i="3"/>
  <c r="AA592" i="3"/>
  <c r="Y592" i="3"/>
  <c r="V592" i="3"/>
  <c r="U592" i="3"/>
  <c r="T592" i="3"/>
  <c r="S592" i="3"/>
  <c r="B592" i="3"/>
  <c r="AS591" i="3"/>
  <c r="AH591" i="3"/>
  <c r="AA591" i="3"/>
  <c r="Y591" i="3"/>
  <c r="V591" i="3"/>
  <c r="U591" i="3"/>
  <c r="T591" i="3"/>
  <c r="S591" i="3"/>
  <c r="B591" i="3"/>
  <c r="AS590" i="3"/>
  <c r="AH590" i="3"/>
  <c r="AA590" i="3"/>
  <c r="Y590" i="3"/>
  <c r="V590" i="3"/>
  <c r="U590" i="3"/>
  <c r="T590" i="3"/>
  <c r="S590" i="3"/>
  <c r="B590" i="3"/>
  <c r="AS589" i="3"/>
  <c r="AH589" i="3"/>
  <c r="AA589" i="3"/>
  <c r="Y589" i="3"/>
  <c r="V589" i="3"/>
  <c r="U589" i="3"/>
  <c r="T589" i="3"/>
  <c r="S589" i="3"/>
  <c r="B589" i="3"/>
  <c r="AS588" i="3"/>
  <c r="AH588" i="3"/>
  <c r="AA588" i="3"/>
  <c r="Y588" i="3"/>
  <c r="V588" i="3"/>
  <c r="U588" i="3"/>
  <c r="T588" i="3"/>
  <c r="S588" i="3"/>
  <c r="B588" i="3"/>
  <c r="AS587" i="3"/>
  <c r="AH587" i="3"/>
  <c r="AA587" i="3"/>
  <c r="Y587" i="3"/>
  <c r="V587" i="3"/>
  <c r="U587" i="3"/>
  <c r="T587" i="3"/>
  <c r="S587" i="3"/>
  <c r="B587" i="3"/>
  <c r="AS586" i="3"/>
  <c r="AH586" i="3"/>
  <c r="AA586" i="3"/>
  <c r="Y586" i="3"/>
  <c r="V586" i="3"/>
  <c r="U586" i="3"/>
  <c r="T586" i="3"/>
  <c r="S586" i="3"/>
  <c r="B586" i="3"/>
  <c r="AS585" i="3"/>
  <c r="AH585" i="3"/>
  <c r="AA585" i="3"/>
  <c r="Y585" i="3"/>
  <c r="V585" i="3"/>
  <c r="U585" i="3"/>
  <c r="T585" i="3"/>
  <c r="S585" i="3"/>
  <c r="B585" i="3"/>
  <c r="AS584" i="3"/>
  <c r="AH584" i="3"/>
  <c r="AA584" i="3"/>
  <c r="Y584" i="3"/>
  <c r="V584" i="3"/>
  <c r="U584" i="3"/>
  <c r="T584" i="3"/>
  <c r="S584" i="3"/>
  <c r="B584" i="3"/>
  <c r="AS583" i="3"/>
  <c r="AH583" i="3"/>
  <c r="AA583" i="3"/>
  <c r="Y583" i="3"/>
  <c r="V583" i="3"/>
  <c r="U583" i="3"/>
  <c r="T583" i="3"/>
  <c r="S583" i="3"/>
  <c r="B583" i="3"/>
  <c r="AS582" i="3"/>
  <c r="AR582" i="3"/>
  <c r="AH582" i="3"/>
  <c r="AA582" i="3"/>
  <c r="Y582" i="3"/>
  <c r="V582" i="3"/>
  <c r="U582" i="3"/>
  <c r="T582" i="3"/>
  <c r="S582" i="3"/>
  <c r="B582" i="3"/>
  <c r="AS581" i="3"/>
  <c r="AR581" i="3"/>
  <c r="AH581" i="3"/>
  <c r="AA581" i="3"/>
  <c r="Y581" i="3"/>
  <c r="V581" i="3"/>
  <c r="U581" i="3"/>
  <c r="T581" i="3"/>
  <c r="S581" i="3"/>
  <c r="B581" i="3"/>
  <c r="AS580" i="3"/>
  <c r="AH580" i="3"/>
  <c r="AA580" i="3"/>
  <c r="Y580" i="3"/>
  <c r="V580" i="3"/>
  <c r="U580" i="3"/>
  <c r="T580" i="3"/>
  <c r="S580" i="3"/>
  <c r="B580" i="3"/>
  <c r="AS579" i="3"/>
  <c r="AH579" i="3"/>
  <c r="AA579" i="3"/>
  <c r="Y579" i="3"/>
  <c r="V579" i="3"/>
  <c r="U579" i="3"/>
  <c r="T579" i="3"/>
  <c r="S579" i="3"/>
  <c r="B579" i="3"/>
  <c r="AS578" i="3"/>
  <c r="AH578" i="3"/>
  <c r="AG578" i="3"/>
  <c r="AA578" i="3"/>
  <c r="Y578" i="3"/>
  <c r="V578" i="3"/>
  <c r="U578" i="3"/>
  <c r="T578" i="3"/>
  <c r="S578" i="3"/>
  <c r="B578" i="3"/>
  <c r="AS577" i="3"/>
  <c r="AH577" i="3"/>
  <c r="AA577" i="3"/>
  <c r="Y577" i="3"/>
  <c r="V577" i="3"/>
  <c r="U577" i="3"/>
  <c r="T577" i="3"/>
  <c r="S577" i="3"/>
  <c r="B577" i="3"/>
  <c r="AS576" i="3"/>
  <c r="AH576" i="3"/>
  <c r="AA576" i="3"/>
  <c r="Y576" i="3"/>
  <c r="V576" i="3"/>
  <c r="U576" i="3"/>
  <c r="T576" i="3"/>
  <c r="S576" i="3"/>
  <c r="B576" i="3"/>
  <c r="AS575" i="3"/>
  <c r="AH575" i="3"/>
  <c r="AA575" i="3"/>
  <c r="Y575" i="3"/>
  <c r="V575" i="3"/>
  <c r="U575" i="3"/>
  <c r="T575" i="3"/>
  <c r="S575" i="3"/>
  <c r="B575" i="3"/>
  <c r="AS574" i="3"/>
  <c r="AH574" i="3"/>
  <c r="AA574" i="3"/>
  <c r="Y574" i="3"/>
  <c r="V574" i="3"/>
  <c r="U574" i="3"/>
  <c r="T574" i="3"/>
  <c r="S574" i="3"/>
  <c r="B574" i="3"/>
  <c r="AS573" i="3"/>
  <c r="AH573" i="3"/>
  <c r="AG573" i="3"/>
  <c r="AA573" i="3"/>
  <c r="Y573" i="3"/>
  <c r="V573" i="3"/>
  <c r="U573" i="3"/>
  <c r="T573" i="3"/>
  <c r="S573" i="3"/>
  <c r="B573" i="3"/>
  <c r="AS572" i="3"/>
  <c r="AH572" i="3"/>
  <c r="AA572" i="3"/>
  <c r="Y572" i="3"/>
  <c r="V572" i="3"/>
  <c r="U572" i="3"/>
  <c r="T572" i="3"/>
  <c r="S572" i="3"/>
  <c r="B572" i="3"/>
  <c r="AS571" i="3"/>
  <c r="AH571" i="3"/>
  <c r="AA571" i="3"/>
  <c r="Y571" i="3"/>
  <c r="V571" i="3"/>
  <c r="U571" i="3"/>
  <c r="T571" i="3"/>
  <c r="S571" i="3"/>
  <c r="B571" i="3"/>
  <c r="AS570" i="3"/>
  <c r="AR570" i="3"/>
  <c r="AH570" i="3"/>
  <c r="AA570" i="3"/>
  <c r="Y570" i="3"/>
  <c r="V570" i="3"/>
  <c r="U570" i="3"/>
  <c r="T570" i="3"/>
  <c r="S570" i="3"/>
  <c r="B570" i="3"/>
  <c r="AS569" i="3"/>
  <c r="AH569" i="3"/>
  <c r="AA569" i="3"/>
  <c r="Y569" i="3"/>
  <c r="V569" i="3"/>
  <c r="U569" i="3"/>
  <c r="T569" i="3"/>
  <c r="S569" i="3"/>
  <c r="B569" i="3"/>
  <c r="AS568" i="3"/>
  <c r="AH568" i="3"/>
  <c r="AA568" i="3"/>
  <c r="Y568" i="3"/>
  <c r="V568" i="3"/>
  <c r="U568" i="3"/>
  <c r="T568" i="3"/>
  <c r="S568" i="3"/>
  <c r="B568" i="3"/>
  <c r="AS567" i="3"/>
  <c r="AH567" i="3"/>
  <c r="AA567" i="3"/>
  <c r="Y567" i="3"/>
  <c r="V567" i="3"/>
  <c r="U567" i="3"/>
  <c r="T567" i="3"/>
  <c r="S567" i="3"/>
  <c r="B567" i="3"/>
  <c r="AS566" i="3"/>
  <c r="AH566" i="3"/>
  <c r="AA566" i="3"/>
  <c r="Y566" i="3"/>
  <c r="V566" i="3"/>
  <c r="U566" i="3"/>
  <c r="T566" i="3"/>
  <c r="S566" i="3"/>
  <c r="B566" i="3"/>
  <c r="AS565" i="3"/>
  <c r="AH565" i="3"/>
  <c r="AA565" i="3"/>
  <c r="Y565" i="3"/>
  <c r="V565" i="3"/>
  <c r="U565" i="3"/>
  <c r="T565" i="3"/>
  <c r="S565" i="3"/>
  <c r="B565" i="3"/>
  <c r="AS564" i="3"/>
  <c r="AH564" i="3"/>
  <c r="AA564" i="3"/>
  <c r="Y564" i="3"/>
  <c r="V564" i="3"/>
  <c r="U564" i="3"/>
  <c r="T564" i="3"/>
  <c r="S564" i="3"/>
  <c r="B564" i="3"/>
  <c r="AS563" i="3"/>
  <c r="AH563" i="3"/>
  <c r="AA563" i="3"/>
  <c r="Y563" i="3"/>
  <c r="V563" i="3"/>
  <c r="U563" i="3"/>
  <c r="T563" i="3"/>
  <c r="S563" i="3"/>
  <c r="B563" i="3"/>
  <c r="AS562" i="3"/>
  <c r="AH562" i="3"/>
  <c r="AA562" i="3"/>
  <c r="Y562" i="3"/>
  <c r="V562" i="3"/>
  <c r="U562" i="3"/>
  <c r="T562" i="3"/>
  <c r="S562" i="3"/>
  <c r="B562" i="3"/>
  <c r="AS561" i="3"/>
  <c r="AH561" i="3"/>
  <c r="AA561" i="3"/>
  <c r="Y561" i="3"/>
  <c r="V561" i="3"/>
  <c r="U561" i="3"/>
  <c r="T561" i="3"/>
  <c r="S561" i="3"/>
  <c r="B561" i="3"/>
  <c r="AS560" i="3"/>
  <c r="AH560" i="3"/>
  <c r="AA560" i="3"/>
  <c r="Y560" i="3"/>
  <c r="V560" i="3"/>
  <c r="U560" i="3"/>
  <c r="T560" i="3"/>
  <c r="S560" i="3"/>
  <c r="B560" i="3"/>
  <c r="AS559" i="3"/>
  <c r="AH559" i="3"/>
  <c r="AA559" i="3"/>
  <c r="Y559" i="3"/>
  <c r="V559" i="3"/>
  <c r="U559" i="3"/>
  <c r="T559" i="3"/>
  <c r="S559" i="3"/>
  <c r="B559" i="3"/>
  <c r="AS558" i="3"/>
  <c r="AH558" i="3"/>
  <c r="AA558" i="3"/>
  <c r="Y558" i="3"/>
  <c r="V558" i="3"/>
  <c r="U558" i="3"/>
  <c r="T558" i="3"/>
  <c r="S558" i="3"/>
  <c r="B558" i="3"/>
  <c r="AS557" i="3"/>
  <c r="AH557" i="3"/>
  <c r="AA557" i="3"/>
  <c r="Y557" i="3"/>
  <c r="V557" i="3"/>
  <c r="U557" i="3"/>
  <c r="T557" i="3"/>
  <c r="S557" i="3"/>
  <c r="B557" i="3"/>
  <c r="AS556" i="3"/>
  <c r="AR556" i="3"/>
  <c r="AH556" i="3"/>
  <c r="AA556" i="3"/>
  <c r="Y556" i="3"/>
  <c r="V556" i="3"/>
  <c r="U556" i="3"/>
  <c r="T556" i="3"/>
  <c r="S556" i="3"/>
  <c r="B556" i="3"/>
  <c r="AS555" i="3"/>
  <c r="AH555" i="3"/>
  <c r="AA555" i="3"/>
  <c r="Y555" i="3"/>
  <c r="V555" i="3"/>
  <c r="U555" i="3"/>
  <c r="T555" i="3"/>
  <c r="S555" i="3"/>
  <c r="B555" i="3"/>
  <c r="AS554" i="3"/>
  <c r="AH554" i="3"/>
  <c r="AA554" i="3"/>
  <c r="Y554" i="3"/>
  <c r="V554" i="3"/>
  <c r="U554" i="3"/>
  <c r="T554" i="3"/>
  <c r="S554" i="3"/>
  <c r="B554" i="3"/>
  <c r="AS553" i="3"/>
  <c r="AR553" i="3"/>
  <c r="AH553" i="3"/>
  <c r="AA553" i="3"/>
  <c r="Y553" i="3"/>
  <c r="V553" i="3"/>
  <c r="U553" i="3"/>
  <c r="T553" i="3"/>
  <c r="S553" i="3"/>
  <c r="B553" i="3"/>
  <c r="AS552" i="3"/>
  <c r="AR552" i="3"/>
  <c r="AH552" i="3"/>
  <c r="AA552" i="3"/>
  <c r="Y552" i="3"/>
  <c r="V552" i="3"/>
  <c r="U552" i="3"/>
  <c r="T552" i="3"/>
  <c r="S552" i="3"/>
  <c r="B552" i="3"/>
  <c r="AS551" i="3"/>
  <c r="AH551" i="3"/>
  <c r="AA551" i="3"/>
  <c r="Y551" i="3"/>
  <c r="V551" i="3"/>
  <c r="U551" i="3"/>
  <c r="T551" i="3"/>
  <c r="S551" i="3"/>
  <c r="B551" i="3"/>
  <c r="AS550" i="3"/>
  <c r="AH550" i="3"/>
  <c r="AA550" i="3"/>
  <c r="Y550" i="3"/>
  <c r="V550" i="3"/>
  <c r="U550" i="3"/>
  <c r="T550" i="3"/>
  <c r="S550" i="3"/>
  <c r="B550" i="3"/>
  <c r="AS549" i="3"/>
  <c r="AH549" i="3"/>
  <c r="AA549" i="3"/>
  <c r="Y549" i="3"/>
  <c r="V549" i="3"/>
  <c r="U549" i="3"/>
  <c r="T549" i="3"/>
  <c r="S549" i="3"/>
  <c r="B549" i="3"/>
  <c r="AS548" i="3"/>
  <c r="AH548" i="3"/>
  <c r="AA548" i="3"/>
  <c r="Y548" i="3"/>
  <c r="V548" i="3"/>
  <c r="U548" i="3"/>
  <c r="T548" i="3"/>
  <c r="S548" i="3"/>
  <c r="B548" i="3"/>
  <c r="AS547" i="3"/>
  <c r="AH547" i="3"/>
  <c r="AA547" i="3"/>
  <c r="Y547" i="3"/>
  <c r="V547" i="3"/>
  <c r="U547" i="3"/>
  <c r="T547" i="3"/>
  <c r="S547" i="3"/>
  <c r="R547" i="3"/>
  <c r="Q547" i="3"/>
  <c r="L547" i="3"/>
  <c r="K547" i="3"/>
  <c r="J547" i="3"/>
  <c r="I547" i="3"/>
  <c r="AS546" i="3"/>
  <c r="AH546" i="3"/>
  <c r="AA546" i="3"/>
  <c r="Y546" i="3"/>
  <c r="V546" i="3"/>
  <c r="U546" i="3"/>
  <c r="T546" i="3"/>
  <c r="S546" i="3"/>
  <c r="R546" i="3"/>
  <c r="Q546" i="3"/>
  <c r="L546" i="3"/>
  <c r="K546" i="3"/>
  <c r="J546" i="3"/>
  <c r="I546" i="3"/>
  <c r="AS545" i="3"/>
  <c r="AH545" i="3"/>
  <c r="AA545" i="3"/>
  <c r="Y545" i="3"/>
  <c r="V545" i="3"/>
  <c r="U545" i="3"/>
  <c r="T545" i="3"/>
  <c r="S545" i="3"/>
  <c r="B545" i="3"/>
  <c r="AS544" i="3"/>
  <c r="AH544" i="3"/>
  <c r="AA544" i="3"/>
  <c r="Y544" i="3"/>
  <c r="V544" i="3"/>
  <c r="U544" i="3"/>
  <c r="T544" i="3"/>
  <c r="S544" i="3"/>
  <c r="R544" i="3"/>
  <c r="Q544" i="3"/>
  <c r="L544" i="3"/>
  <c r="K544" i="3"/>
  <c r="J544" i="3"/>
  <c r="I544" i="3"/>
  <c r="AS543" i="3"/>
  <c r="AH543" i="3"/>
  <c r="AA543" i="3"/>
  <c r="Y543" i="3"/>
  <c r="V543" i="3"/>
  <c r="T543" i="3"/>
  <c r="S543" i="3"/>
  <c r="B543" i="3"/>
  <c r="AS542" i="3"/>
  <c r="AH542" i="3"/>
  <c r="AG542" i="3"/>
  <c r="AA542" i="3"/>
  <c r="Y542" i="3"/>
  <c r="V542" i="3"/>
  <c r="U542" i="3"/>
  <c r="T542" i="3"/>
  <c r="S542" i="3"/>
  <c r="B542" i="3"/>
  <c r="AS541" i="3"/>
  <c r="AH541" i="3"/>
  <c r="AA541" i="3"/>
  <c r="Y541" i="3"/>
  <c r="V541" i="3"/>
  <c r="T541" i="3"/>
  <c r="S541" i="3"/>
  <c r="B541" i="3"/>
  <c r="AS540" i="3"/>
  <c r="AH540" i="3"/>
  <c r="AA540" i="3"/>
  <c r="Y540" i="3"/>
  <c r="V540" i="3"/>
  <c r="U540" i="3"/>
  <c r="T540" i="3"/>
  <c r="S540" i="3"/>
  <c r="R540" i="3"/>
  <c r="Q540" i="3"/>
  <c r="L540" i="3"/>
  <c r="K540" i="3"/>
  <c r="J540" i="3"/>
  <c r="I540" i="3"/>
  <c r="AS539" i="3"/>
  <c r="AH539" i="3"/>
  <c r="AA539" i="3"/>
  <c r="Y539" i="3"/>
  <c r="V539" i="3"/>
  <c r="T539" i="3"/>
  <c r="S539" i="3"/>
  <c r="B539" i="3"/>
  <c r="AS538" i="3"/>
  <c r="AH538" i="3"/>
  <c r="AA538" i="3"/>
  <c r="Y538" i="3"/>
  <c r="V538" i="3"/>
  <c r="U538" i="3"/>
  <c r="T538" i="3"/>
  <c r="S538" i="3"/>
  <c r="B538" i="3"/>
  <c r="AS537" i="3"/>
  <c r="AH537" i="3"/>
  <c r="AA537" i="3"/>
  <c r="Y537" i="3"/>
  <c r="V537" i="3"/>
  <c r="T537" i="3"/>
  <c r="S537" i="3"/>
  <c r="B537" i="3"/>
  <c r="AS536" i="3"/>
  <c r="AH536" i="3"/>
  <c r="AA536" i="3"/>
  <c r="Y536" i="3"/>
  <c r="V536" i="3"/>
  <c r="U536" i="3"/>
  <c r="T536" i="3"/>
  <c r="S536" i="3"/>
  <c r="B536" i="3"/>
  <c r="AS535" i="3"/>
  <c r="AH535" i="3"/>
  <c r="AA535" i="3"/>
  <c r="Y535" i="3"/>
  <c r="V535" i="3"/>
  <c r="T535" i="3"/>
  <c r="S535" i="3"/>
  <c r="B535" i="3"/>
  <c r="AS534" i="3"/>
  <c r="AH534" i="3"/>
  <c r="AA534" i="3"/>
  <c r="Y534" i="3"/>
  <c r="V534" i="3"/>
  <c r="U534" i="3"/>
  <c r="T534" i="3"/>
  <c r="S534" i="3"/>
  <c r="R534" i="3"/>
  <c r="Q534" i="3"/>
  <c r="L534" i="3"/>
  <c r="K534" i="3"/>
  <c r="J534" i="3"/>
  <c r="I534" i="3"/>
  <c r="AS533" i="3"/>
  <c r="AH533" i="3"/>
  <c r="AA533" i="3"/>
  <c r="Y533" i="3"/>
  <c r="V533" i="3"/>
  <c r="T533" i="3"/>
  <c r="S533" i="3"/>
  <c r="K533" i="3"/>
  <c r="B533" i="3"/>
  <c r="AS532" i="3"/>
  <c r="AH532" i="3"/>
  <c r="AA532" i="3"/>
  <c r="Y532" i="3"/>
  <c r="V532" i="3"/>
  <c r="T532" i="3"/>
  <c r="S532" i="3"/>
  <c r="K532" i="3"/>
  <c r="B532" i="3"/>
  <c r="AS531" i="3"/>
  <c r="AH531" i="3"/>
  <c r="AA531" i="3"/>
  <c r="Y531" i="3"/>
  <c r="V531" i="3"/>
  <c r="T531" i="3"/>
  <c r="S531" i="3"/>
  <c r="B531" i="3"/>
  <c r="AS530" i="3"/>
  <c r="AH530" i="3"/>
  <c r="AA530" i="3"/>
  <c r="Y530" i="3"/>
  <c r="V530" i="3"/>
  <c r="T530" i="3"/>
  <c r="S530" i="3"/>
  <c r="B530" i="3"/>
  <c r="AS529" i="3"/>
  <c r="AH529" i="3"/>
  <c r="AA529" i="3"/>
  <c r="Y529" i="3"/>
  <c r="V529" i="3"/>
  <c r="T529" i="3"/>
  <c r="S529" i="3"/>
  <c r="B529" i="3"/>
  <c r="AS528" i="3"/>
  <c r="AH528" i="3"/>
  <c r="AA528" i="3"/>
  <c r="Y528" i="3"/>
  <c r="V528" i="3"/>
  <c r="T528" i="3"/>
  <c r="S528" i="3"/>
  <c r="B528" i="3"/>
  <c r="AS527" i="3"/>
  <c r="AH527" i="3"/>
  <c r="AA527" i="3"/>
  <c r="Y527" i="3"/>
  <c r="V527" i="3"/>
  <c r="T527" i="3"/>
  <c r="S527" i="3"/>
  <c r="B527" i="3"/>
  <c r="AS526" i="3"/>
  <c r="AH526" i="3"/>
  <c r="AA526" i="3"/>
  <c r="Y526" i="3"/>
  <c r="V526" i="3"/>
  <c r="U526" i="3"/>
  <c r="T526" i="3"/>
  <c r="S526" i="3"/>
  <c r="B526" i="3"/>
  <c r="AS525" i="3"/>
  <c r="AH525" i="3"/>
  <c r="AA525" i="3"/>
  <c r="Y525" i="3"/>
  <c r="V525" i="3"/>
  <c r="U525" i="3"/>
  <c r="T525" i="3"/>
  <c r="S525" i="3"/>
  <c r="R525" i="3"/>
  <c r="Q525" i="3"/>
  <c r="L525" i="3"/>
  <c r="K525" i="3"/>
  <c r="J525" i="3"/>
  <c r="I525" i="3"/>
  <c r="AS524" i="3"/>
  <c r="AH524" i="3"/>
  <c r="AA524" i="3"/>
  <c r="Y524" i="3"/>
  <c r="V524" i="3"/>
  <c r="U524" i="3"/>
  <c r="T524" i="3"/>
  <c r="S524" i="3"/>
  <c r="B524" i="3"/>
  <c r="AS523" i="3"/>
  <c r="AH523" i="3"/>
  <c r="AA523" i="3"/>
  <c r="Y523" i="3"/>
  <c r="V523" i="3"/>
  <c r="U523" i="3"/>
  <c r="T523" i="3"/>
  <c r="S523" i="3"/>
  <c r="R523" i="3"/>
  <c r="Q523" i="3"/>
  <c r="L523" i="3"/>
  <c r="K523" i="3"/>
  <c r="J523" i="3"/>
  <c r="I523" i="3"/>
  <c r="AS522" i="3"/>
  <c r="AH522" i="3"/>
  <c r="AG522" i="3"/>
  <c r="AA522" i="3"/>
  <c r="Y522" i="3"/>
  <c r="V522" i="3"/>
  <c r="U522" i="3"/>
  <c r="T522" i="3"/>
  <c r="S522" i="3"/>
  <c r="B522" i="3"/>
  <c r="AS521" i="3"/>
  <c r="AH521" i="3"/>
  <c r="AA521" i="3"/>
  <c r="Y521" i="3"/>
  <c r="V521" i="3"/>
  <c r="U521" i="3"/>
  <c r="T521" i="3"/>
  <c r="S521" i="3"/>
  <c r="B521" i="3"/>
  <c r="AS520" i="3"/>
  <c r="AH520" i="3"/>
  <c r="AA520" i="3"/>
  <c r="Y520" i="3"/>
  <c r="V520" i="3"/>
  <c r="U520" i="3"/>
  <c r="T520" i="3"/>
  <c r="S520" i="3"/>
  <c r="R520" i="3"/>
  <c r="Q520" i="3"/>
  <c r="L520" i="3"/>
  <c r="K520" i="3"/>
  <c r="J520" i="3"/>
  <c r="I520" i="3"/>
  <c r="AS519" i="3"/>
  <c r="AH519" i="3"/>
  <c r="AA519" i="3"/>
  <c r="Y519" i="3"/>
  <c r="V519" i="3"/>
  <c r="U519" i="3"/>
  <c r="T519" i="3"/>
  <c r="S519" i="3"/>
  <c r="B519" i="3"/>
  <c r="AS518" i="3"/>
  <c r="AH518" i="3"/>
  <c r="AA518" i="3"/>
  <c r="Y518" i="3"/>
  <c r="V518" i="3"/>
  <c r="U518" i="3"/>
  <c r="T518" i="3"/>
  <c r="S518" i="3"/>
  <c r="R518" i="3"/>
  <c r="Q518" i="3"/>
  <c r="L518" i="3"/>
  <c r="K518" i="3"/>
  <c r="J518" i="3"/>
  <c r="I518" i="3"/>
  <c r="AS517" i="3"/>
  <c r="AH517" i="3"/>
  <c r="AA517" i="3"/>
  <c r="Y517" i="3"/>
  <c r="V517" i="3"/>
  <c r="U517" i="3"/>
  <c r="T517" i="3"/>
  <c r="S517" i="3"/>
  <c r="B517" i="3"/>
  <c r="AS516" i="3"/>
  <c r="AH516" i="3"/>
  <c r="AA516" i="3"/>
  <c r="Y516" i="3"/>
  <c r="V516" i="3"/>
  <c r="U516" i="3"/>
  <c r="T516" i="3"/>
  <c r="S516" i="3"/>
  <c r="B516" i="3"/>
  <c r="AS515" i="3"/>
  <c r="AH515" i="3"/>
  <c r="AA515" i="3"/>
  <c r="Y515" i="3"/>
  <c r="V515" i="3"/>
  <c r="U515" i="3"/>
  <c r="T515" i="3"/>
  <c r="S515" i="3"/>
  <c r="B515" i="3"/>
  <c r="AS514" i="3"/>
  <c r="AH514" i="3"/>
  <c r="AA514" i="3"/>
  <c r="Y514" i="3"/>
  <c r="V514" i="3"/>
  <c r="U514" i="3"/>
  <c r="T514" i="3"/>
  <c r="S514" i="3"/>
  <c r="B514" i="3"/>
  <c r="AS513" i="3"/>
  <c r="AH513" i="3"/>
  <c r="AA513" i="3"/>
  <c r="Y513" i="3"/>
  <c r="V513" i="3"/>
  <c r="U513" i="3"/>
  <c r="T513" i="3"/>
  <c r="S513" i="3"/>
  <c r="B513" i="3"/>
  <c r="AS512" i="3"/>
  <c r="AH512" i="3"/>
  <c r="AA512" i="3"/>
  <c r="Y512" i="3"/>
  <c r="V512" i="3"/>
  <c r="U512" i="3"/>
  <c r="T512" i="3"/>
  <c r="S512" i="3"/>
  <c r="B512" i="3"/>
  <c r="AS511" i="3"/>
  <c r="AH511" i="3"/>
  <c r="AA511" i="3"/>
  <c r="Y511" i="3"/>
  <c r="V511" i="3"/>
  <c r="U511" i="3"/>
  <c r="T511" i="3"/>
  <c r="S511" i="3"/>
  <c r="R511" i="3"/>
  <c r="Q511" i="3"/>
  <c r="L511" i="3"/>
  <c r="K511" i="3"/>
  <c r="J511" i="3"/>
  <c r="I511" i="3"/>
  <c r="AS510" i="3"/>
  <c r="AH510" i="3"/>
  <c r="AA510" i="3"/>
  <c r="Y510" i="3"/>
  <c r="V510" i="3"/>
  <c r="T510" i="3"/>
  <c r="S510" i="3"/>
  <c r="B510" i="3"/>
  <c r="AS509" i="3"/>
  <c r="AH509" i="3"/>
  <c r="AA509" i="3"/>
  <c r="Y509" i="3"/>
  <c r="V509" i="3"/>
  <c r="U509" i="3"/>
  <c r="T509" i="3"/>
  <c r="S509" i="3"/>
  <c r="R509" i="3"/>
  <c r="Q509" i="3"/>
  <c r="L509" i="3"/>
  <c r="K509" i="3"/>
  <c r="J509" i="3"/>
  <c r="I509" i="3"/>
  <c r="AS508" i="3"/>
  <c r="AH508" i="3"/>
  <c r="AA508" i="3"/>
  <c r="Y508" i="3"/>
  <c r="V508" i="3"/>
  <c r="U508" i="3"/>
  <c r="T508" i="3"/>
  <c r="S508" i="3"/>
  <c r="B508" i="3"/>
  <c r="AS507" i="3"/>
  <c r="AH507" i="3"/>
  <c r="AA507" i="3"/>
  <c r="Y507" i="3"/>
  <c r="V507" i="3"/>
  <c r="U507" i="3"/>
  <c r="T507" i="3"/>
  <c r="S507" i="3"/>
  <c r="R507" i="3"/>
  <c r="Q507" i="3"/>
  <c r="L507" i="3"/>
  <c r="K507" i="3"/>
  <c r="J507" i="3"/>
  <c r="I507" i="3"/>
  <c r="AS506" i="3"/>
  <c r="AH506" i="3"/>
  <c r="AA506" i="3"/>
  <c r="Y506" i="3"/>
  <c r="V506" i="3"/>
  <c r="U506" i="3"/>
  <c r="T506" i="3"/>
  <c r="S506" i="3"/>
  <c r="K506" i="3"/>
  <c r="B506" i="3"/>
  <c r="AS505" i="3"/>
  <c r="AH505" i="3"/>
  <c r="AA505" i="3"/>
  <c r="Y505" i="3"/>
  <c r="V505" i="3"/>
  <c r="U505" i="3"/>
  <c r="T505" i="3"/>
  <c r="S505" i="3"/>
  <c r="B505" i="3"/>
  <c r="AS504" i="3"/>
  <c r="AH504" i="3"/>
  <c r="AA504" i="3"/>
  <c r="Y504" i="3"/>
  <c r="V504" i="3"/>
  <c r="U504" i="3"/>
  <c r="T504" i="3"/>
  <c r="S504" i="3"/>
  <c r="R504" i="3"/>
  <c r="Q504" i="3"/>
  <c r="L504" i="3"/>
  <c r="K504" i="3"/>
  <c r="J504" i="3"/>
  <c r="I504" i="3"/>
  <c r="AS503" i="3"/>
  <c r="AH503" i="3"/>
  <c r="AA503" i="3"/>
  <c r="Y503" i="3"/>
  <c r="V503" i="3"/>
  <c r="U503" i="3"/>
  <c r="T503" i="3"/>
  <c r="S503" i="3"/>
  <c r="B503" i="3"/>
  <c r="AS502" i="3"/>
  <c r="AH502" i="3"/>
  <c r="AA502" i="3"/>
  <c r="Y502" i="3"/>
  <c r="V502" i="3"/>
  <c r="U502" i="3"/>
  <c r="T502" i="3"/>
  <c r="S502" i="3"/>
  <c r="R502" i="3"/>
  <c r="Q502" i="3"/>
  <c r="L502" i="3"/>
  <c r="K502" i="3"/>
  <c r="J502" i="3"/>
  <c r="I502" i="3"/>
  <c r="AS501" i="3"/>
  <c r="AH501" i="3"/>
  <c r="AA501" i="3"/>
  <c r="Y501" i="3"/>
  <c r="V501" i="3"/>
  <c r="U501" i="3"/>
  <c r="T501" i="3"/>
  <c r="S501" i="3"/>
  <c r="B501" i="3"/>
  <c r="AS500" i="3"/>
  <c r="AH500" i="3"/>
  <c r="AA500" i="3"/>
  <c r="Y500" i="3"/>
  <c r="V500" i="3"/>
  <c r="U500" i="3"/>
  <c r="T500" i="3"/>
  <c r="S500" i="3"/>
  <c r="R500" i="3"/>
  <c r="Q500" i="3"/>
  <c r="L500" i="3"/>
  <c r="K500" i="3"/>
  <c r="J500" i="3"/>
  <c r="I500" i="3"/>
  <c r="AS499" i="3"/>
  <c r="AH499" i="3"/>
  <c r="AA499" i="3"/>
  <c r="Y499" i="3"/>
  <c r="V499" i="3"/>
  <c r="U499" i="3"/>
  <c r="T499" i="3"/>
  <c r="S499" i="3"/>
  <c r="B499" i="3"/>
  <c r="AS498" i="3"/>
  <c r="AH498" i="3"/>
  <c r="AG498" i="3"/>
  <c r="AA498" i="3"/>
  <c r="Y498" i="3"/>
  <c r="V498" i="3"/>
  <c r="U498" i="3"/>
  <c r="T498" i="3"/>
  <c r="S498" i="3"/>
  <c r="B498" i="3"/>
  <c r="AS497" i="3"/>
  <c r="AH497" i="3"/>
  <c r="AG497" i="3"/>
  <c r="AA497" i="3"/>
  <c r="Y497" i="3"/>
  <c r="V497" i="3"/>
  <c r="U497" i="3"/>
  <c r="T497" i="3"/>
  <c r="S497" i="3"/>
  <c r="B497" i="3"/>
  <c r="AS496" i="3"/>
  <c r="AH496" i="3"/>
  <c r="AG496" i="3"/>
  <c r="AA496" i="3"/>
  <c r="Y496" i="3"/>
  <c r="V496" i="3"/>
  <c r="U496" i="3"/>
  <c r="T496" i="3"/>
  <c r="S496" i="3"/>
  <c r="B496" i="3"/>
  <c r="AS495" i="3"/>
  <c r="AH495" i="3"/>
  <c r="AA495" i="3"/>
  <c r="Y495" i="3"/>
  <c r="V495" i="3"/>
  <c r="U495" i="3"/>
  <c r="T495" i="3"/>
  <c r="S495" i="3"/>
  <c r="B495" i="3"/>
  <c r="AS494" i="3"/>
  <c r="AH494" i="3"/>
  <c r="AA494" i="3"/>
  <c r="Y494" i="3"/>
  <c r="V494" i="3"/>
  <c r="U494" i="3"/>
  <c r="T494" i="3"/>
  <c r="S494" i="3"/>
  <c r="R494" i="3"/>
  <c r="Q494" i="3"/>
  <c r="L494" i="3"/>
  <c r="K494" i="3"/>
  <c r="J494" i="3"/>
  <c r="I494" i="3"/>
  <c r="AS493" i="3"/>
  <c r="AH493" i="3"/>
  <c r="AG493" i="3"/>
  <c r="AA493" i="3"/>
  <c r="Y493" i="3"/>
  <c r="V493" i="3"/>
  <c r="U493" i="3"/>
  <c r="T493" i="3"/>
  <c r="S493" i="3"/>
  <c r="K493" i="3"/>
  <c r="B493" i="3"/>
  <c r="AS492" i="3"/>
  <c r="AH492" i="3"/>
  <c r="AA492" i="3"/>
  <c r="Y492" i="3"/>
  <c r="V492" i="3"/>
  <c r="U492" i="3"/>
  <c r="T492" i="3"/>
  <c r="S492" i="3"/>
  <c r="R492" i="3"/>
  <c r="Q492" i="3"/>
  <c r="L492" i="3"/>
  <c r="K492" i="3"/>
  <c r="J492" i="3"/>
  <c r="I492" i="3"/>
  <c r="AS491" i="3"/>
  <c r="AH491" i="3"/>
  <c r="AA491" i="3"/>
  <c r="Y491" i="3"/>
  <c r="V491" i="3"/>
  <c r="U491" i="3"/>
  <c r="T491" i="3"/>
  <c r="S491" i="3"/>
  <c r="B491" i="3"/>
  <c r="AS490" i="3"/>
  <c r="AH490" i="3"/>
  <c r="AA490" i="3"/>
  <c r="Y490" i="3"/>
  <c r="V490" i="3"/>
  <c r="U490" i="3"/>
  <c r="T490" i="3"/>
  <c r="S490" i="3"/>
  <c r="R490" i="3"/>
  <c r="Q490" i="3"/>
  <c r="L490" i="3"/>
  <c r="K490" i="3"/>
  <c r="J490" i="3"/>
  <c r="I490" i="3"/>
  <c r="AS489" i="3"/>
  <c r="AH489" i="3"/>
  <c r="AA489" i="3"/>
  <c r="Y489" i="3"/>
  <c r="V489" i="3"/>
  <c r="T489" i="3"/>
  <c r="S489" i="3"/>
  <c r="B489" i="3"/>
  <c r="AS488" i="3"/>
  <c r="AH488" i="3"/>
  <c r="AA488" i="3"/>
  <c r="Y488" i="3"/>
  <c r="V488" i="3"/>
  <c r="T488" i="3"/>
  <c r="S488" i="3"/>
  <c r="B488" i="3"/>
  <c r="AS487" i="3"/>
  <c r="AH487" i="3"/>
  <c r="AA487" i="3"/>
  <c r="Y487" i="3"/>
  <c r="V487" i="3"/>
  <c r="U487" i="3"/>
  <c r="T487" i="3"/>
  <c r="S487" i="3"/>
  <c r="B487" i="3"/>
  <c r="AS486" i="3"/>
  <c r="AH486" i="3"/>
  <c r="AA486" i="3"/>
  <c r="Y486" i="3"/>
  <c r="V486" i="3"/>
  <c r="U486" i="3"/>
  <c r="T486" i="3"/>
  <c r="S486" i="3"/>
  <c r="B486" i="3"/>
  <c r="AS485" i="3"/>
  <c r="AH485" i="3"/>
  <c r="AA485" i="3"/>
  <c r="Y485" i="3"/>
  <c r="V485" i="3"/>
  <c r="U485" i="3"/>
  <c r="T485" i="3"/>
  <c r="S485" i="3"/>
  <c r="B485" i="3"/>
  <c r="AS484" i="3"/>
  <c r="AH484" i="3"/>
  <c r="AA484" i="3"/>
  <c r="Y484" i="3"/>
  <c r="V484" i="3"/>
  <c r="U484" i="3"/>
  <c r="T484" i="3"/>
  <c r="S484" i="3"/>
  <c r="B484" i="3"/>
  <c r="AS483" i="3"/>
  <c r="AH483" i="3"/>
  <c r="AA483" i="3"/>
  <c r="Y483" i="3"/>
  <c r="V483" i="3"/>
  <c r="U483" i="3"/>
  <c r="T483" i="3"/>
  <c r="S483" i="3"/>
  <c r="B483" i="3"/>
  <c r="AS482" i="3"/>
  <c r="AH482" i="3"/>
  <c r="AA482" i="3"/>
  <c r="Y482" i="3"/>
  <c r="V482" i="3"/>
  <c r="U482" i="3"/>
  <c r="T482" i="3"/>
  <c r="S482" i="3"/>
  <c r="B482" i="3"/>
  <c r="AS481" i="3"/>
  <c r="AH481" i="3"/>
  <c r="AA481" i="3"/>
  <c r="Y481" i="3"/>
  <c r="V481" i="3"/>
  <c r="U481" i="3"/>
  <c r="T481" i="3"/>
  <c r="S481" i="3"/>
  <c r="R481" i="3"/>
  <c r="Q481" i="3"/>
  <c r="L481" i="3"/>
  <c r="K481" i="3"/>
  <c r="J481" i="3"/>
  <c r="I481" i="3"/>
  <c r="AS480" i="3"/>
  <c r="AH480" i="3"/>
  <c r="AA480" i="3"/>
  <c r="Y480" i="3"/>
  <c r="T480" i="3"/>
  <c r="U480" i="3" s="1"/>
  <c r="S480" i="3"/>
  <c r="B480" i="3"/>
  <c r="AS479" i="3"/>
  <c r="AH479" i="3"/>
  <c r="AA479" i="3"/>
  <c r="Y479" i="3"/>
  <c r="T479" i="3"/>
  <c r="U479" i="3" s="1"/>
  <c r="V479" i="3" s="1"/>
  <c r="S479" i="3"/>
  <c r="B479" i="3"/>
  <c r="AS478" i="3"/>
  <c r="AH478" i="3"/>
  <c r="AA478" i="3"/>
  <c r="Y478" i="3"/>
  <c r="T478" i="3"/>
  <c r="U478" i="3" s="1"/>
  <c r="V478" i="3" s="1"/>
  <c r="S478" i="3"/>
  <c r="K478" i="3"/>
  <c r="B478" i="3"/>
  <c r="AS477" i="3"/>
  <c r="AH477" i="3"/>
  <c r="AA477" i="3"/>
  <c r="Y477" i="3"/>
  <c r="U477" i="3"/>
  <c r="T477" i="3"/>
  <c r="V477" i="3" s="1"/>
  <c r="S477" i="3"/>
  <c r="B477" i="3"/>
  <c r="AS476" i="3"/>
  <c r="AH476" i="3"/>
  <c r="AA476" i="3"/>
  <c r="Y476" i="3"/>
  <c r="T476" i="3"/>
  <c r="U476" i="3" s="1"/>
  <c r="V476" i="3" s="1"/>
  <c r="S476" i="3"/>
  <c r="B476" i="3"/>
  <c r="AS475" i="3"/>
  <c r="AH475" i="3"/>
  <c r="AA475" i="3"/>
  <c r="Y475" i="3"/>
  <c r="T475" i="3"/>
  <c r="V475" i="3" s="1"/>
  <c r="S475" i="3"/>
  <c r="B475" i="3"/>
  <c r="AS474" i="3"/>
  <c r="AH474" i="3"/>
  <c r="AA474" i="3"/>
  <c r="Y474" i="3"/>
  <c r="T474" i="3"/>
  <c r="V474" i="3" s="1"/>
  <c r="S474" i="3"/>
  <c r="B474" i="3"/>
  <c r="AS473" i="3"/>
  <c r="AH473" i="3"/>
  <c r="AA473" i="3"/>
  <c r="Y473" i="3"/>
  <c r="T473" i="3"/>
  <c r="V473" i="3" s="1"/>
  <c r="S473" i="3"/>
  <c r="B473" i="3"/>
  <c r="AS472" i="3"/>
  <c r="AH472" i="3"/>
  <c r="AA472" i="3"/>
  <c r="Y472" i="3"/>
  <c r="U472" i="3"/>
  <c r="T472" i="3"/>
  <c r="V472" i="3" s="1"/>
  <c r="S472" i="3"/>
  <c r="B472" i="3"/>
  <c r="AS471" i="3"/>
  <c r="AH471" i="3"/>
  <c r="AA471" i="3"/>
  <c r="Y471" i="3"/>
  <c r="U471" i="3"/>
  <c r="T471" i="3"/>
  <c r="V471" i="3" s="1"/>
  <c r="S471" i="3"/>
  <c r="B471" i="3"/>
  <c r="AS470" i="3"/>
  <c r="AH470" i="3"/>
  <c r="AA470" i="3"/>
  <c r="Y470" i="3"/>
  <c r="U470" i="3"/>
  <c r="T470" i="3"/>
  <c r="V470" i="3" s="1"/>
  <c r="S470" i="3"/>
  <c r="B470" i="3"/>
  <c r="AS469" i="3"/>
  <c r="AH469" i="3"/>
  <c r="AA469" i="3"/>
  <c r="Y469" i="3"/>
  <c r="T469" i="3"/>
  <c r="R469" i="3"/>
  <c r="Q469" i="3"/>
  <c r="L469" i="3"/>
  <c r="K469" i="3"/>
  <c r="J469" i="3"/>
  <c r="I469" i="3"/>
  <c r="AS468" i="3"/>
  <c r="AH468" i="3"/>
  <c r="AA468" i="3"/>
  <c r="Y468" i="3"/>
  <c r="V468" i="3"/>
  <c r="U468" i="3"/>
  <c r="T468" i="3"/>
  <c r="S468" i="3"/>
  <c r="B468" i="3"/>
  <c r="AS467" i="3"/>
  <c r="AH467" i="3"/>
  <c r="AA467" i="3"/>
  <c r="Y467" i="3"/>
  <c r="V467" i="3"/>
  <c r="U467" i="3"/>
  <c r="T467" i="3"/>
  <c r="S467" i="3"/>
  <c r="B467" i="3"/>
  <c r="AS466" i="3"/>
  <c r="AH466" i="3"/>
  <c r="AG466" i="3"/>
  <c r="AA466" i="3"/>
  <c r="Y466" i="3"/>
  <c r="V466" i="3"/>
  <c r="U466" i="3"/>
  <c r="T466" i="3"/>
  <c r="S466" i="3"/>
  <c r="B466" i="3"/>
  <c r="AS465" i="3"/>
  <c r="AH465" i="3"/>
  <c r="AA465" i="3"/>
  <c r="Y465" i="3"/>
  <c r="V465" i="3"/>
  <c r="U465" i="3"/>
  <c r="T465" i="3"/>
  <c r="S465" i="3"/>
  <c r="B465" i="3"/>
  <c r="AS464" i="3"/>
  <c r="AH464" i="3"/>
  <c r="AA464" i="3"/>
  <c r="Y464" i="3"/>
  <c r="V464" i="3"/>
  <c r="T464" i="3"/>
  <c r="S464" i="3"/>
  <c r="B464" i="3"/>
  <c r="AS463" i="3"/>
  <c r="AH463" i="3"/>
  <c r="AA463" i="3"/>
  <c r="Y463" i="3"/>
  <c r="V463" i="3"/>
  <c r="U463" i="3"/>
  <c r="T463" i="3"/>
  <c r="S463" i="3"/>
  <c r="R463" i="3"/>
  <c r="Q463" i="3"/>
  <c r="L463" i="3"/>
  <c r="K463" i="3"/>
  <c r="J463" i="3"/>
  <c r="I463" i="3"/>
  <c r="AS462" i="3"/>
  <c r="AH462" i="3"/>
  <c r="AA462" i="3"/>
  <c r="Y462" i="3"/>
  <c r="V462" i="3"/>
  <c r="U462" i="3"/>
  <c r="T462" i="3"/>
  <c r="S462" i="3"/>
  <c r="B462" i="3"/>
  <c r="AS461" i="3"/>
  <c r="AH461" i="3"/>
  <c r="AA461" i="3"/>
  <c r="Y461" i="3"/>
  <c r="V461" i="3"/>
  <c r="U461" i="3"/>
  <c r="T461" i="3"/>
  <c r="S461" i="3"/>
  <c r="R461" i="3"/>
  <c r="Q461" i="3"/>
  <c r="L461" i="3"/>
  <c r="K461" i="3"/>
  <c r="J461" i="3"/>
  <c r="I461" i="3"/>
  <c r="AS460" i="3"/>
  <c r="AH460" i="3"/>
  <c r="AA460" i="3"/>
  <c r="Y460" i="3"/>
  <c r="V460" i="3"/>
  <c r="U460" i="3"/>
  <c r="T460" i="3"/>
  <c r="S460" i="3"/>
  <c r="B460" i="3"/>
  <c r="AS459" i="3"/>
  <c r="AH459" i="3"/>
  <c r="AA459" i="3"/>
  <c r="Y459" i="3"/>
  <c r="V459" i="3"/>
  <c r="U459" i="3"/>
  <c r="T459" i="3"/>
  <c r="S459" i="3"/>
  <c r="R459" i="3"/>
  <c r="Q459" i="3"/>
  <c r="L459" i="3"/>
  <c r="K459" i="3"/>
  <c r="J459" i="3"/>
  <c r="I459" i="3"/>
  <c r="AS458" i="3"/>
  <c r="AH458" i="3"/>
  <c r="AA458" i="3"/>
  <c r="Y458" i="3"/>
  <c r="V458" i="3"/>
  <c r="U458" i="3"/>
  <c r="T458" i="3"/>
  <c r="S458" i="3"/>
  <c r="B458" i="3"/>
  <c r="AS457" i="3"/>
  <c r="AH457" i="3"/>
  <c r="AA457" i="3"/>
  <c r="Y457" i="3"/>
  <c r="V457" i="3"/>
  <c r="U457" i="3"/>
  <c r="T457" i="3"/>
  <c r="S457" i="3"/>
  <c r="R457" i="3"/>
  <c r="Q457" i="3"/>
  <c r="L457" i="3"/>
  <c r="K457" i="3"/>
  <c r="J457" i="3"/>
  <c r="I457" i="3"/>
  <c r="AS456" i="3"/>
  <c r="AH456" i="3"/>
  <c r="AA456" i="3"/>
  <c r="Y456" i="3"/>
  <c r="V456" i="3"/>
  <c r="U456" i="3"/>
  <c r="T456" i="3"/>
  <c r="S456" i="3"/>
  <c r="B456" i="3"/>
  <c r="AS455" i="3"/>
  <c r="AH455" i="3"/>
  <c r="AA455" i="3"/>
  <c r="Y455" i="3"/>
  <c r="V455" i="3"/>
  <c r="U455" i="3"/>
  <c r="T455" i="3"/>
  <c r="S455" i="3"/>
  <c r="R455" i="3"/>
  <c r="Q455" i="3"/>
  <c r="L455" i="3"/>
  <c r="K455" i="3"/>
  <c r="J455" i="3"/>
  <c r="I455" i="3"/>
  <c r="AS454" i="3"/>
  <c r="AH454" i="3"/>
  <c r="AA454" i="3"/>
  <c r="Y454" i="3"/>
  <c r="V454" i="3"/>
  <c r="U454" i="3"/>
  <c r="T454" i="3"/>
  <c r="S454" i="3"/>
  <c r="B454" i="3"/>
  <c r="AS453" i="3"/>
  <c r="AH453" i="3"/>
  <c r="AA453" i="3"/>
  <c r="Y453" i="3"/>
  <c r="V453" i="3"/>
  <c r="U453" i="3"/>
  <c r="T453" i="3"/>
  <c r="S453" i="3"/>
  <c r="R453" i="3"/>
  <c r="Q453" i="3"/>
  <c r="L453" i="3"/>
  <c r="K453" i="3"/>
  <c r="J453" i="3"/>
  <c r="I453" i="3"/>
  <c r="AS452" i="3"/>
  <c r="AH452" i="3"/>
  <c r="AA452" i="3"/>
  <c r="Y452" i="3"/>
  <c r="V452" i="3"/>
  <c r="U452" i="3"/>
  <c r="T452" i="3"/>
  <c r="S452" i="3"/>
  <c r="B452" i="3"/>
  <c r="AS451" i="3"/>
  <c r="AH451" i="3"/>
  <c r="AA451" i="3"/>
  <c r="Y451" i="3"/>
  <c r="V451" i="3"/>
  <c r="U451" i="3"/>
  <c r="T451" i="3"/>
  <c r="S451" i="3"/>
  <c r="R451" i="3"/>
  <c r="Q451" i="3"/>
  <c r="L451" i="3"/>
  <c r="K451" i="3"/>
  <c r="J451" i="3"/>
  <c r="I451" i="3"/>
  <c r="AS450" i="3"/>
  <c r="AH450" i="3"/>
  <c r="AA450" i="3"/>
  <c r="Y450" i="3"/>
  <c r="V450" i="3"/>
  <c r="U450" i="3"/>
  <c r="T450" i="3"/>
  <c r="S450" i="3"/>
  <c r="B450" i="3"/>
  <c r="AS449" i="3"/>
  <c r="AH449" i="3"/>
  <c r="AA449" i="3"/>
  <c r="Y449" i="3"/>
  <c r="V449" i="3"/>
  <c r="U449" i="3"/>
  <c r="T449" i="3"/>
  <c r="S449" i="3"/>
  <c r="R449" i="3"/>
  <c r="Q449" i="3"/>
  <c r="L449" i="3"/>
  <c r="K449" i="3"/>
  <c r="J449" i="3"/>
  <c r="I449" i="3"/>
  <c r="AS448" i="3"/>
  <c r="AH448" i="3"/>
  <c r="AA448" i="3"/>
  <c r="Y448" i="3"/>
  <c r="V448" i="3"/>
  <c r="U448" i="3"/>
  <c r="T448" i="3"/>
  <c r="S448" i="3"/>
  <c r="B448" i="3"/>
  <c r="AS447" i="3"/>
  <c r="AH447" i="3"/>
  <c r="AA447" i="3"/>
  <c r="Y447" i="3"/>
  <c r="V447" i="3"/>
  <c r="U447" i="3"/>
  <c r="T447" i="3"/>
  <c r="S447" i="3"/>
  <c r="B447" i="3"/>
  <c r="AS446" i="3"/>
  <c r="AH446" i="3"/>
  <c r="AG446" i="3"/>
  <c r="AA446" i="3"/>
  <c r="Y446" i="3"/>
  <c r="V446" i="3"/>
  <c r="U446" i="3"/>
  <c r="T446" i="3"/>
  <c r="S446" i="3"/>
  <c r="B446" i="3"/>
  <c r="AS445" i="3"/>
  <c r="AH445" i="3"/>
  <c r="AA445" i="3"/>
  <c r="Y445" i="3"/>
  <c r="V445" i="3"/>
  <c r="U445" i="3"/>
  <c r="T445" i="3"/>
  <c r="S445" i="3"/>
  <c r="B445" i="3"/>
  <c r="AS444" i="3"/>
  <c r="AH444" i="3"/>
  <c r="AA444" i="3"/>
  <c r="Y444" i="3"/>
  <c r="V444" i="3"/>
  <c r="U444" i="3"/>
  <c r="T444" i="3"/>
  <c r="S444" i="3"/>
  <c r="B444" i="3"/>
  <c r="AS443" i="3"/>
  <c r="AH443" i="3"/>
  <c r="AA443" i="3"/>
  <c r="Y443" i="3"/>
  <c r="V443" i="3"/>
  <c r="U443" i="3"/>
  <c r="T443" i="3"/>
  <c r="S443" i="3"/>
  <c r="B443" i="3"/>
  <c r="AS442" i="3"/>
  <c r="AH442" i="3"/>
  <c r="AA442" i="3"/>
  <c r="Y442" i="3"/>
  <c r="V442" i="3"/>
  <c r="U442" i="3"/>
  <c r="T442" i="3"/>
  <c r="S442" i="3"/>
  <c r="B442" i="3"/>
  <c r="AS441" i="3"/>
  <c r="AH441" i="3"/>
  <c r="AA441" i="3"/>
  <c r="Y441" i="3"/>
  <c r="V441" i="3"/>
  <c r="U441" i="3"/>
  <c r="T441" i="3"/>
  <c r="S441" i="3"/>
  <c r="B441" i="3"/>
  <c r="AS440" i="3"/>
  <c r="AH440" i="3"/>
  <c r="AA440" i="3"/>
  <c r="Y440" i="3"/>
  <c r="V440" i="3"/>
  <c r="U440" i="3"/>
  <c r="T440" i="3"/>
  <c r="S440" i="3"/>
  <c r="B440" i="3"/>
  <c r="AS439" i="3"/>
  <c r="AH439" i="3"/>
  <c r="AA439" i="3"/>
  <c r="Y439" i="3"/>
  <c r="V439" i="3"/>
  <c r="U439" i="3"/>
  <c r="T439" i="3"/>
  <c r="S439" i="3"/>
  <c r="R439" i="3"/>
  <c r="Q439" i="3"/>
  <c r="L439" i="3"/>
  <c r="K439" i="3"/>
  <c r="J439" i="3"/>
  <c r="I439" i="3"/>
  <c r="AS438" i="3"/>
  <c r="AH438" i="3"/>
  <c r="AA438" i="3"/>
  <c r="Y438" i="3"/>
  <c r="V438" i="3"/>
  <c r="U438" i="3"/>
  <c r="T438" i="3"/>
  <c r="S438" i="3"/>
  <c r="B438" i="3"/>
  <c r="AS437" i="3"/>
  <c r="AH437" i="3"/>
  <c r="AA437" i="3"/>
  <c r="Y437" i="3"/>
  <c r="V437" i="3"/>
  <c r="U437" i="3"/>
  <c r="T437" i="3"/>
  <c r="S437" i="3"/>
  <c r="B437" i="3"/>
  <c r="AS436" i="3"/>
  <c r="AH436" i="3"/>
  <c r="AA436" i="3"/>
  <c r="Y436" i="3"/>
  <c r="V436" i="3"/>
  <c r="U436" i="3"/>
  <c r="T436" i="3"/>
  <c r="S436" i="3"/>
  <c r="R436" i="3"/>
  <c r="Q436" i="3"/>
  <c r="L436" i="3"/>
  <c r="K436" i="3"/>
  <c r="J436" i="3"/>
  <c r="I436" i="3"/>
  <c r="AS435" i="3"/>
  <c r="AH435" i="3"/>
  <c r="AA435" i="3"/>
  <c r="Y435" i="3"/>
  <c r="V435" i="3"/>
  <c r="U435" i="3"/>
  <c r="T435" i="3"/>
  <c r="S435" i="3"/>
  <c r="B435" i="3"/>
  <c r="AS434" i="3"/>
  <c r="AH434" i="3"/>
  <c r="AA434" i="3"/>
  <c r="Y434" i="3"/>
  <c r="V434" i="3"/>
  <c r="T434" i="3"/>
  <c r="S434" i="3"/>
  <c r="B434" i="3"/>
  <c r="AS433" i="3"/>
  <c r="AH433" i="3"/>
  <c r="AA433" i="3"/>
  <c r="Y433" i="3"/>
  <c r="V433" i="3"/>
  <c r="U433" i="3"/>
  <c r="T433" i="3"/>
  <c r="S433" i="3"/>
  <c r="B433" i="3"/>
  <c r="AS432" i="3"/>
  <c r="AH432" i="3"/>
  <c r="AA432" i="3"/>
  <c r="Y432" i="3"/>
  <c r="V432" i="3"/>
  <c r="U432" i="3"/>
  <c r="T432" i="3"/>
  <c r="S432" i="3"/>
  <c r="B432" i="3"/>
  <c r="AS431" i="3"/>
  <c r="AH431" i="3"/>
  <c r="AA431" i="3"/>
  <c r="Y431" i="3"/>
  <c r="V431" i="3"/>
  <c r="U431" i="3"/>
  <c r="T431" i="3"/>
  <c r="S431" i="3"/>
  <c r="B431" i="3"/>
  <c r="AS430" i="3"/>
  <c r="AH430" i="3"/>
  <c r="AA430" i="3"/>
  <c r="Y430" i="3"/>
  <c r="V430" i="3"/>
  <c r="U430" i="3"/>
  <c r="T430" i="3"/>
  <c r="S430" i="3"/>
  <c r="R430" i="3"/>
  <c r="Q430" i="3"/>
  <c r="L430" i="3"/>
  <c r="K430" i="3"/>
  <c r="J430" i="3"/>
  <c r="I430" i="3"/>
  <c r="AS429" i="3"/>
  <c r="AH429" i="3"/>
  <c r="AG429" i="3"/>
  <c r="AA429" i="3"/>
  <c r="Y429" i="3"/>
  <c r="V429" i="3"/>
  <c r="U429" i="3"/>
  <c r="T429" i="3"/>
  <c r="S429" i="3"/>
  <c r="B429" i="3"/>
  <c r="AS428" i="3"/>
  <c r="AH428" i="3"/>
  <c r="AA428" i="3"/>
  <c r="Y428" i="3"/>
  <c r="V428" i="3"/>
  <c r="T428" i="3"/>
  <c r="S428" i="3"/>
  <c r="B428" i="3"/>
  <c r="AS427" i="3"/>
  <c r="AH427" i="3"/>
  <c r="AA427" i="3"/>
  <c r="Y427" i="3"/>
  <c r="V427" i="3"/>
  <c r="T427" i="3"/>
  <c r="S427" i="3"/>
  <c r="B427" i="3"/>
  <c r="AS426" i="3"/>
  <c r="AH426" i="3"/>
  <c r="AA426" i="3"/>
  <c r="Y426" i="3"/>
  <c r="V426" i="3"/>
  <c r="T426" i="3"/>
  <c r="S426" i="3"/>
  <c r="B426" i="3"/>
  <c r="AS425" i="3"/>
  <c r="AH425" i="3"/>
  <c r="AA425" i="3"/>
  <c r="Y425" i="3"/>
  <c r="V425" i="3"/>
  <c r="T425" i="3"/>
  <c r="S425" i="3"/>
  <c r="B425" i="3"/>
  <c r="AS424" i="3"/>
  <c r="AH424" i="3"/>
  <c r="AA424" i="3"/>
  <c r="Y424" i="3"/>
  <c r="V424" i="3"/>
  <c r="U424" i="3"/>
  <c r="T424" i="3"/>
  <c r="S424" i="3"/>
  <c r="B424" i="3"/>
  <c r="AS423" i="3"/>
  <c r="AH423" i="3"/>
  <c r="AA423" i="3"/>
  <c r="Y423" i="3"/>
  <c r="V423" i="3"/>
  <c r="U423" i="3"/>
  <c r="T423" i="3"/>
  <c r="S423" i="3"/>
  <c r="B423" i="3"/>
  <c r="AS422" i="3"/>
  <c r="AH422" i="3"/>
  <c r="AA422" i="3"/>
  <c r="Y422" i="3"/>
  <c r="V422" i="3"/>
  <c r="U422" i="3"/>
  <c r="T422" i="3"/>
  <c r="S422" i="3"/>
  <c r="R422" i="3"/>
  <c r="Q422" i="3"/>
  <c r="L422" i="3"/>
  <c r="K422" i="3"/>
  <c r="J422" i="3"/>
  <c r="I422" i="3"/>
  <c r="AS421" i="3"/>
  <c r="AH421" i="3"/>
  <c r="AA421" i="3"/>
  <c r="Y421" i="3"/>
  <c r="V421" i="3"/>
  <c r="U421" i="3"/>
  <c r="T421" i="3"/>
  <c r="S421" i="3"/>
  <c r="B421" i="3"/>
  <c r="AS420" i="3"/>
  <c r="AH420" i="3"/>
  <c r="AA420" i="3"/>
  <c r="Y420" i="3"/>
  <c r="V420" i="3"/>
  <c r="U420" i="3"/>
  <c r="T420" i="3"/>
  <c r="S420" i="3"/>
  <c r="B420" i="3"/>
  <c r="AS419" i="3"/>
  <c r="AH419" i="3"/>
  <c r="AA419" i="3"/>
  <c r="Y419" i="3"/>
  <c r="V419" i="3"/>
  <c r="T419" i="3"/>
  <c r="S419" i="3"/>
  <c r="B419" i="3"/>
  <c r="AS418" i="3"/>
  <c r="AH418" i="3"/>
  <c r="AA418" i="3"/>
  <c r="Y418" i="3"/>
  <c r="V418" i="3"/>
  <c r="U418" i="3"/>
  <c r="T418" i="3"/>
  <c r="S418" i="3"/>
  <c r="B418" i="3"/>
  <c r="AS417" i="3"/>
  <c r="AH417" i="3"/>
  <c r="AA417" i="3"/>
  <c r="Y417" i="3"/>
  <c r="V417" i="3"/>
  <c r="U417" i="3"/>
  <c r="T417" i="3"/>
  <c r="S417" i="3"/>
  <c r="R417" i="3"/>
  <c r="Q417" i="3"/>
  <c r="L417" i="3"/>
  <c r="K417" i="3"/>
  <c r="J417" i="3"/>
  <c r="I417" i="3"/>
  <c r="AS416" i="3"/>
  <c r="AH416" i="3"/>
  <c r="AA416" i="3"/>
  <c r="Y416" i="3"/>
  <c r="V416" i="3"/>
  <c r="U416" i="3"/>
  <c r="T416" i="3"/>
  <c r="S416" i="3"/>
  <c r="B416" i="3"/>
  <c r="AS415" i="3"/>
  <c r="AH415" i="3"/>
  <c r="AA415" i="3"/>
  <c r="Y415" i="3"/>
  <c r="V415" i="3"/>
  <c r="U415" i="3"/>
  <c r="T415" i="3"/>
  <c r="S415" i="3"/>
  <c r="R415" i="3"/>
  <c r="Q415" i="3"/>
  <c r="L415" i="3"/>
  <c r="K415" i="3"/>
  <c r="J415" i="3"/>
  <c r="I415" i="3"/>
  <c r="AS414" i="3"/>
  <c r="AH414" i="3"/>
  <c r="AA414" i="3"/>
  <c r="Y414" i="3"/>
  <c r="V414" i="3"/>
  <c r="U414" i="3"/>
  <c r="T414" i="3"/>
  <c r="S414" i="3"/>
  <c r="B414" i="3"/>
  <c r="AS413" i="3"/>
  <c r="AH413" i="3"/>
  <c r="AA413" i="3"/>
  <c r="Y413" i="3"/>
  <c r="V413" i="3"/>
  <c r="T413" i="3"/>
  <c r="S413" i="3"/>
  <c r="B413" i="3"/>
  <c r="AS412" i="3"/>
  <c r="AH412" i="3"/>
  <c r="AA412" i="3"/>
  <c r="Y412" i="3"/>
  <c r="V412" i="3"/>
  <c r="U412" i="3"/>
  <c r="T412" i="3"/>
  <c r="S412" i="3"/>
  <c r="B412" i="3"/>
  <c r="AS411" i="3"/>
  <c r="AH411" i="3"/>
  <c r="AA411" i="3"/>
  <c r="Y411" i="3"/>
  <c r="V411" i="3"/>
  <c r="U411" i="3"/>
  <c r="T411" i="3"/>
  <c r="S411" i="3"/>
  <c r="B411" i="3"/>
  <c r="AS410" i="3"/>
  <c r="AH410" i="3"/>
  <c r="AA410" i="3"/>
  <c r="Y410" i="3"/>
  <c r="V410" i="3"/>
  <c r="U410" i="3"/>
  <c r="T410" i="3"/>
  <c r="S410" i="3"/>
  <c r="B410" i="3"/>
  <c r="AS409" i="3"/>
  <c r="AH409" i="3"/>
  <c r="AA409" i="3"/>
  <c r="Y409" i="3"/>
  <c r="V409" i="3"/>
  <c r="U409" i="3"/>
  <c r="T409" i="3"/>
  <c r="S409" i="3"/>
  <c r="R409" i="3"/>
  <c r="Q409" i="3"/>
  <c r="L409" i="3"/>
  <c r="K409" i="3"/>
  <c r="J409" i="3"/>
  <c r="I409" i="3"/>
  <c r="AS408" i="3"/>
  <c r="AH408" i="3"/>
  <c r="AA408" i="3"/>
  <c r="Y408" i="3"/>
  <c r="V408" i="3"/>
  <c r="T408" i="3"/>
  <c r="S408" i="3"/>
  <c r="B408" i="3"/>
  <c r="AS407" i="3"/>
  <c r="AH407" i="3"/>
  <c r="AA407" i="3"/>
  <c r="Y407" i="3"/>
  <c r="V407" i="3"/>
  <c r="U407" i="3"/>
  <c r="T407" i="3"/>
  <c r="S407" i="3"/>
  <c r="R407" i="3"/>
  <c r="Q407" i="3"/>
  <c r="L407" i="3"/>
  <c r="K407" i="3"/>
  <c r="J407" i="3"/>
  <c r="I407" i="3"/>
  <c r="AS406" i="3"/>
  <c r="AH406" i="3"/>
  <c r="AA406" i="3"/>
  <c r="Y406" i="3"/>
  <c r="V406" i="3"/>
  <c r="U406" i="3"/>
  <c r="T406" i="3"/>
  <c r="S406" i="3"/>
  <c r="B406" i="3"/>
  <c r="AS405" i="3"/>
  <c r="AH405" i="3"/>
  <c r="AA405" i="3"/>
  <c r="Y405" i="3"/>
  <c r="V405" i="3"/>
  <c r="U405" i="3"/>
  <c r="T405" i="3"/>
  <c r="S405" i="3"/>
  <c r="R405" i="3"/>
  <c r="Q405" i="3"/>
  <c r="L405" i="3"/>
  <c r="K405" i="3"/>
  <c r="J405" i="3"/>
  <c r="I405" i="3"/>
  <c r="AS404" i="3"/>
  <c r="AH404" i="3"/>
  <c r="AA404" i="3"/>
  <c r="Y404" i="3"/>
  <c r="V404" i="3"/>
  <c r="U404" i="3"/>
  <c r="T404" i="3"/>
  <c r="S404" i="3"/>
  <c r="B404" i="3"/>
  <c r="AS403" i="3"/>
  <c r="AH403" i="3"/>
  <c r="AA403" i="3"/>
  <c r="Y403" i="3"/>
  <c r="V403" i="3"/>
  <c r="U403" i="3"/>
  <c r="T403" i="3"/>
  <c r="S403" i="3"/>
  <c r="B403" i="3"/>
  <c r="AS402" i="3"/>
  <c r="AH402" i="3"/>
  <c r="AA402" i="3"/>
  <c r="Y402" i="3"/>
  <c r="V402" i="3"/>
  <c r="T402" i="3"/>
  <c r="S402" i="3"/>
  <c r="B402" i="3"/>
  <c r="AS401" i="3"/>
  <c r="AH401" i="3"/>
  <c r="AA401" i="3"/>
  <c r="Y401" i="3"/>
  <c r="V401" i="3"/>
  <c r="U401" i="3"/>
  <c r="T401" i="3"/>
  <c r="S401" i="3"/>
  <c r="B401" i="3"/>
  <c r="AS400" i="3"/>
  <c r="AH400" i="3"/>
  <c r="AA400" i="3"/>
  <c r="Y400" i="3"/>
  <c r="V400" i="3"/>
  <c r="U400" i="3"/>
  <c r="T400" i="3"/>
  <c r="S400" i="3"/>
  <c r="B400" i="3"/>
  <c r="AS399" i="3"/>
  <c r="AH399" i="3"/>
  <c r="AA399" i="3"/>
  <c r="Y399" i="3"/>
  <c r="V399" i="3"/>
  <c r="U399" i="3"/>
  <c r="T399" i="3"/>
  <c r="S399" i="3"/>
  <c r="B399" i="3"/>
  <c r="AS398" i="3"/>
  <c r="AH398" i="3"/>
  <c r="AA398" i="3"/>
  <c r="Y398" i="3"/>
  <c r="V398" i="3"/>
  <c r="U398" i="3"/>
  <c r="T398" i="3"/>
  <c r="S398" i="3"/>
  <c r="R398" i="3"/>
  <c r="Q398" i="3"/>
  <c r="L398" i="3"/>
  <c r="K398" i="3"/>
  <c r="J398" i="3"/>
  <c r="I398" i="3"/>
  <c r="AS397" i="3"/>
  <c r="AH397" i="3"/>
  <c r="AG397" i="3"/>
  <c r="AA397" i="3"/>
  <c r="Y397" i="3"/>
  <c r="V397" i="3"/>
  <c r="U397" i="3"/>
  <c r="T397" i="3"/>
  <c r="S397" i="3"/>
  <c r="B397" i="3"/>
  <c r="AS396" i="3"/>
  <c r="AH396" i="3"/>
  <c r="AA396" i="3"/>
  <c r="Y396" i="3"/>
  <c r="V396" i="3"/>
  <c r="U396" i="3"/>
  <c r="T396" i="3"/>
  <c r="S396" i="3"/>
  <c r="R396" i="3"/>
  <c r="Q396" i="3"/>
  <c r="L396" i="3"/>
  <c r="K396" i="3"/>
  <c r="J396" i="3"/>
  <c r="I396" i="3"/>
  <c r="AS395" i="3"/>
  <c r="AH395" i="3"/>
  <c r="AA395" i="3"/>
  <c r="Y395" i="3"/>
  <c r="V395" i="3"/>
  <c r="T395" i="3"/>
  <c r="S395" i="3"/>
  <c r="K395" i="3"/>
  <c r="B395" i="3"/>
  <c r="AS394" i="3"/>
  <c r="AH394" i="3"/>
  <c r="AA394" i="3"/>
  <c r="Y394" i="3"/>
  <c r="V394" i="3"/>
  <c r="U394" i="3"/>
  <c r="T394" i="3"/>
  <c r="S394" i="3"/>
  <c r="B394" i="3"/>
  <c r="AS393" i="3"/>
  <c r="AH393" i="3"/>
  <c r="AG393" i="3"/>
  <c r="AA393" i="3"/>
  <c r="Y393" i="3"/>
  <c r="V393" i="3"/>
  <c r="U393" i="3"/>
  <c r="T393" i="3"/>
  <c r="S393" i="3"/>
  <c r="B393" i="3"/>
  <c r="AS392" i="3"/>
  <c r="AH392" i="3"/>
  <c r="AG392" i="3"/>
  <c r="AA392" i="3"/>
  <c r="Y392" i="3"/>
  <c r="V392" i="3"/>
  <c r="U392" i="3"/>
  <c r="T392" i="3"/>
  <c r="S392" i="3"/>
  <c r="B392" i="3"/>
  <c r="AS391" i="3"/>
  <c r="AH391" i="3"/>
  <c r="AA391" i="3"/>
  <c r="Y391" i="3"/>
  <c r="V391" i="3"/>
  <c r="U391" i="3"/>
  <c r="T391" i="3"/>
  <c r="S391" i="3"/>
  <c r="R391" i="3"/>
  <c r="Q391" i="3"/>
  <c r="L391" i="3"/>
  <c r="K391" i="3"/>
  <c r="J391" i="3"/>
  <c r="I391" i="3"/>
  <c r="AS390" i="3"/>
  <c r="AH390" i="3"/>
  <c r="AA390" i="3"/>
  <c r="Y390" i="3"/>
  <c r="V390" i="3"/>
  <c r="U390" i="3"/>
  <c r="T390" i="3"/>
  <c r="S390" i="3"/>
  <c r="B390" i="3"/>
  <c r="AS389" i="3"/>
  <c r="AH389" i="3"/>
  <c r="AA389" i="3"/>
  <c r="Y389" i="3"/>
  <c r="V389" i="3"/>
  <c r="U389" i="3"/>
  <c r="T389" i="3"/>
  <c r="S389" i="3"/>
  <c r="R389" i="3"/>
  <c r="Q389" i="3"/>
  <c r="L389" i="3"/>
  <c r="K389" i="3"/>
  <c r="J389" i="3"/>
  <c r="I389" i="3"/>
  <c r="AS388" i="3"/>
  <c r="AH388" i="3"/>
  <c r="AA388" i="3"/>
  <c r="Y388" i="3"/>
  <c r="V388" i="3"/>
  <c r="T388" i="3"/>
  <c r="S388" i="3"/>
  <c r="B388" i="3"/>
  <c r="AS387" i="3"/>
  <c r="AH387" i="3"/>
  <c r="AA387" i="3"/>
  <c r="Y387" i="3"/>
  <c r="V387" i="3"/>
  <c r="U387" i="3"/>
  <c r="T387" i="3"/>
  <c r="S387" i="3"/>
  <c r="B387" i="3"/>
  <c r="AS386" i="3"/>
  <c r="AH386" i="3"/>
  <c r="AA386" i="3"/>
  <c r="Y386" i="3"/>
  <c r="V386" i="3"/>
  <c r="U386" i="3"/>
  <c r="T386" i="3"/>
  <c r="S386" i="3"/>
  <c r="R386" i="3"/>
  <c r="Q386" i="3"/>
  <c r="L386" i="3"/>
  <c r="K386" i="3"/>
  <c r="J386" i="3"/>
  <c r="I386" i="3"/>
  <c r="AS385" i="3"/>
  <c r="AH385" i="3"/>
  <c r="AA385" i="3"/>
  <c r="Y385" i="3"/>
  <c r="V385" i="3"/>
  <c r="U385" i="3"/>
  <c r="T385" i="3"/>
  <c r="S385" i="3"/>
  <c r="K385" i="3"/>
  <c r="B385" i="3"/>
  <c r="AS384" i="3"/>
  <c r="AH384" i="3"/>
  <c r="AA384" i="3"/>
  <c r="Y384" i="3"/>
  <c r="V384" i="3"/>
  <c r="T384" i="3"/>
  <c r="S384" i="3"/>
  <c r="B384" i="3"/>
  <c r="AS383" i="3"/>
  <c r="AH383" i="3"/>
  <c r="AG383" i="3"/>
  <c r="AA383" i="3"/>
  <c r="Y383" i="3"/>
  <c r="V383" i="3"/>
  <c r="U383" i="3"/>
  <c r="T383" i="3"/>
  <c r="S383" i="3"/>
  <c r="B383" i="3"/>
  <c r="AS382" i="3"/>
  <c r="AH382" i="3"/>
  <c r="AA382" i="3"/>
  <c r="Y382" i="3"/>
  <c r="V382" i="3"/>
  <c r="U382" i="3"/>
  <c r="T382" i="3"/>
  <c r="S382" i="3"/>
  <c r="B382" i="3"/>
  <c r="AS381" i="3"/>
  <c r="AH381" i="3"/>
  <c r="AA381" i="3"/>
  <c r="Y381" i="3"/>
  <c r="V381" i="3"/>
  <c r="U381" i="3"/>
  <c r="T381" i="3"/>
  <c r="S381" i="3"/>
  <c r="R381" i="3"/>
  <c r="Q381" i="3"/>
  <c r="L381" i="3"/>
  <c r="K381" i="3"/>
  <c r="J381" i="3"/>
  <c r="I381" i="3"/>
  <c r="AS380" i="3"/>
  <c r="AH380" i="3"/>
  <c r="AA380" i="3"/>
  <c r="Y380" i="3"/>
  <c r="V380" i="3"/>
  <c r="U380" i="3"/>
  <c r="T380" i="3"/>
  <c r="S380" i="3"/>
  <c r="B380" i="3"/>
  <c r="AS379" i="3"/>
  <c r="AH379" i="3"/>
  <c r="AA379" i="3"/>
  <c r="Y379" i="3"/>
  <c r="V379" i="3"/>
  <c r="U379" i="3"/>
  <c r="T379" i="3"/>
  <c r="S379" i="3"/>
  <c r="R379" i="3"/>
  <c r="Q379" i="3"/>
  <c r="L379" i="3"/>
  <c r="K379" i="3"/>
  <c r="J379" i="3"/>
  <c r="I379" i="3"/>
  <c r="AS378" i="3"/>
  <c r="AH378" i="3"/>
  <c r="AG378" i="3"/>
  <c r="AA378" i="3"/>
  <c r="Y378" i="3"/>
  <c r="V378" i="3"/>
  <c r="U378" i="3"/>
  <c r="T378" i="3"/>
  <c r="S378" i="3"/>
  <c r="B378" i="3"/>
  <c r="AS377" i="3"/>
  <c r="AH377" i="3"/>
  <c r="AA377" i="3"/>
  <c r="Y377" i="3"/>
  <c r="V377" i="3"/>
  <c r="U377" i="3"/>
  <c r="T377" i="3"/>
  <c r="S377" i="3"/>
  <c r="R377" i="3"/>
  <c r="Q377" i="3"/>
  <c r="L377" i="3"/>
  <c r="K377" i="3"/>
  <c r="J377" i="3"/>
  <c r="I377" i="3"/>
  <c r="AS376" i="3"/>
  <c r="AH376" i="3"/>
  <c r="AA376" i="3"/>
  <c r="Y376" i="3"/>
  <c r="V376" i="3"/>
  <c r="T376" i="3"/>
  <c r="S376" i="3"/>
  <c r="B376" i="3"/>
  <c r="AS375" i="3"/>
  <c r="AH375" i="3"/>
  <c r="AA375" i="3"/>
  <c r="Y375" i="3"/>
  <c r="V375" i="3"/>
  <c r="U375" i="3"/>
  <c r="T375" i="3"/>
  <c r="S375" i="3"/>
  <c r="B375" i="3"/>
  <c r="AS374" i="3"/>
  <c r="AH374" i="3"/>
  <c r="AA374" i="3"/>
  <c r="Y374" i="3"/>
  <c r="V374" i="3"/>
  <c r="U374" i="3"/>
  <c r="T374" i="3"/>
  <c r="S374" i="3"/>
  <c r="R374" i="3"/>
  <c r="Q374" i="3"/>
  <c r="L374" i="3"/>
  <c r="K374" i="3"/>
  <c r="J374" i="3"/>
  <c r="I374" i="3"/>
  <c r="AS373" i="3"/>
  <c r="AH373" i="3"/>
  <c r="AA373" i="3"/>
  <c r="Y373" i="3"/>
  <c r="V373" i="3"/>
  <c r="U373" i="3"/>
  <c r="T373" i="3"/>
  <c r="S373" i="3"/>
  <c r="B373" i="3"/>
  <c r="AS372" i="3"/>
  <c r="AH372" i="3"/>
  <c r="AA372" i="3"/>
  <c r="Y372" i="3"/>
  <c r="V372" i="3"/>
  <c r="U372" i="3"/>
  <c r="T372" i="3"/>
  <c r="S372" i="3"/>
  <c r="K372" i="3"/>
  <c r="B372" i="3"/>
  <c r="AS371" i="3"/>
  <c r="AH371" i="3"/>
  <c r="AA371" i="3"/>
  <c r="Y371" i="3"/>
  <c r="V371" i="3"/>
  <c r="U371" i="3"/>
  <c r="T371" i="3"/>
  <c r="S371" i="3"/>
  <c r="B371" i="3"/>
  <c r="AS370" i="3"/>
  <c r="AH370" i="3"/>
  <c r="AA370" i="3"/>
  <c r="Y370" i="3"/>
  <c r="V370" i="3"/>
  <c r="T370" i="3"/>
  <c r="S370" i="3"/>
  <c r="B370" i="3"/>
  <c r="AS369" i="3"/>
  <c r="AH369" i="3"/>
  <c r="AA369" i="3"/>
  <c r="Y369" i="3"/>
  <c r="V369" i="3"/>
  <c r="U369" i="3"/>
  <c r="T369" i="3"/>
  <c r="S369" i="3"/>
  <c r="B369" i="3"/>
  <c r="AS368" i="3"/>
  <c r="AH368" i="3"/>
  <c r="AA368" i="3"/>
  <c r="Y368" i="3"/>
  <c r="V368" i="3"/>
  <c r="U368" i="3"/>
  <c r="T368" i="3"/>
  <c r="S368" i="3"/>
  <c r="B368" i="3"/>
  <c r="AS367" i="3"/>
  <c r="AH367" i="3"/>
  <c r="AA367" i="3"/>
  <c r="Y367" i="3"/>
  <c r="V367" i="3"/>
  <c r="U367" i="3"/>
  <c r="T367" i="3"/>
  <c r="S367" i="3"/>
  <c r="B367" i="3"/>
  <c r="AS366" i="3"/>
  <c r="AH366" i="3"/>
  <c r="AG366" i="3"/>
  <c r="AA366" i="3"/>
  <c r="Y366" i="3"/>
  <c r="V366" i="3"/>
  <c r="U366" i="3"/>
  <c r="T366" i="3"/>
  <c r="S366" i="3"/>
  <c r="B366" i="3"/>
  <c r="AS365" i="3"/>
  <c r="AH365" i="3"/>
  <c r="AA365" i="3"/>
  <c r="Y365" i="3"/>
  <c r="V365" i="3"/>
  <c r="T365" i="3"/>
  <c r="S365" i="3"/>
  <c r="B365" i="3"/>
  <c r="AS364" i="3"/>
  <c r="AH364" i="3"/>
  <c r="AA364" i="3"/>
  <c r="Y364" i="3"/>
  <c r="V364" i="3"/>
  <c r="U364" i="3"/>
  <c r="T364" i="3"/>
  <c r="S364" i="3"/>
  <c r="B364" i="3"/>
  <c r="AS363" i="3"/>
  <c r="AH363" i="3"/>
  <c r="AA363" i="3"/>
  <c r="Y363" i="3"/>
  <c r="V363" i="3"/>
  <c r="U363" i="3"/>
  <c r="T363" i="3"/>
  <c r="S363" i="3"/>
  <c r="B363" i="3"/>
  <c r="AS362" i="3"/>
  <c r="AH362" i="3"/>
  <c r="AA362" i="3"/>
  <c r="Y362" i="3"/>
  <c r="V362" i="3"/>
  <c r="U362" i="3"/>
  <c r="T362" i="3"/>
  <c r="S362" i="3"/>
  <c r="B362" i="3"/>
  <c r="AS361" i="3"/>
  <c r="AH361" i="3"/>
  <c r="AA361" i="3"/>
  <c r="Y361" i="3"/>
  <c r="V361" i="3"/>
  <c r="U361" i="3"/>
  <c r="T361" i="3"/>
  <c r="S361" i="3"/>
  <c r="B361" i="3"/>
  <c r="AS360" i="3"/>
  <c r="AH360" i="3"/>
  <c r="AA360" i="3"/>
  <c r="Y360" i="3"/>
  <c r="V360" i="3"/>
  <c r="U360" i="3"/>
  <c r="T360" i="3"/>
  <c r="S360" i="3"/>
  <c r="B360" i="3"/>
  <c r="AS359" i="3"/>
  <c r="AH359" i="3"/>
  <c r="AA359" i="3"/>
  <c r="Y359" i="3"/>
  <c r="V359" i="3"/>
  <c r="U359" i="3"/>
  <c r="T359" i="3"/>
  <c r="S359" i="3"/>
  <c r="B359" i="3"/>
  <c r="AS358" i="3"/>
  <c r="AH358" i="3"/>
  <c r="AA358" i="3"/>
  <c r="Y358" i="3"/>
  <c r="V358" i="3"/>
  <c r="U358" i="3"/>
  <c r="T358" i="3"/>
  <c r="S358" i="3"/>
  <c r="R358" i="3"/>
  <c r="Q358" i="3"/>
  <c r="L358" i="3"/>
  <c r="K358" i="3"/>
  <c r="J358" i="3"/>
  <c r="I358" i="3"/>
  <c r="AS357" i="3"/>
  <c r="AH357" i="3"/>
  <c r="AG357" i="3"/>
  <c r="AA357" i="3"/>
  <c r="Y357" i="3"/>
  <c r="V357" i="3"/>
  <c r="U357" i="3"/>
  <c r="T357" i="3"/>
  <c r="S357" i="3"/>
  <c r="B357" i="3"/>
  <c r="AS356" i="3"/>
  <c r="AH356" i="3"/>
  <c r="AA356" i="3"/>
  <c r="Y356" i="3"/>
  <c r="V356" i="3"/>
  <c r="U356" i="3"/>
  <c r="T356" i="3"/>
  <c r="S356" i="3"/>
  <c r="R356" i="3"/>
  <c r="Q356" i="3"/>
  <c r="L356" i="3"/>
  <c r="K356" i="3"/>
  <c r="J356" i="3"/>
  <c r="I356" i="3"/>
  <c r="AS355" i="3"/>
  <c r="AH355" i="3"/>
  <c r="AA355" i="3"/>
  <c r="Y355" i="3"/>
  <c r="V355" i="3"/>
  <c r="U355" i="3"/>
  <c r="T355" i="3"/>
  <c r="S355" i="3"/>
  <c r="B355" i="3"/>
  <c r="AS354" i="3"/>
  <c r="AH354" i="3"/>
  <c r="AA354" i="3"/>
  <c r="Y354" i="3"/>
  <c r="V354" i="3"/>
  <c r="T354" i="3"/>
  <c r="S354" i="3"/>
  <c r="B354" i="3"/>
  <c r="AS353" i="3"/>
  <c r="AH353" i="3"/>
  <c r="AA353" i="3"/>
  <c r="Y353" i="3"/>
  <c r="V353" i="3"/>
  <c r="U353" i="3"/>
  <c r="T353" i="3"/>
  <c r="S353" i="3"/>
  <c r="B353" i="3"/>
  <c r="AS352" i="3"/>
  <c r="AH352" i="3"/>
  <c r="AA352" i="3"/>
  <c r="Y352" i="3"/>
  <c r="V352" i="3"/>
  <c r="U352" i="3"/>
  <c r="T352" i="3"/>
  <c r="S352" i="3"/>
  <c r="R352" i="3"/>
  <c r="Q352" i="3"/>
  <c r="L352" i="3"/>
  <c r="K352" i="3"/>
  <c r="J352" i="3"/>
  <c r="I352" i="3"/>
  <c r="AS351" i="3"/>
  <c r="AH351" i="3"/>
  <c r="AA351" i="3"/>
  <c r="Y351" i="3"/>
  <c r="V351" i="3"/>
  <c r="U351" i="3"/>
  <c r="T351" i="3"/>
  <c r="S351" i="3"/>
  <c r="K351" i="3"/>
  <c r="B351" i="3"/>
  <c r="AS350" i="3"/>
  <c r="AH350" i="3"/>
  <c r="AA350" i="3"/>
  <c r="Y350" i="3"/>
  <c r="V350" i="3"/>
  <c r="T350" i="3"/>
  <c r="S350" i="3"/>
  <c r="B350" i="3"/>
  <c r="AS349" i="3"/>
  <c r="AH349" i="3"/>
  <c r="AA349" i="3"/>
  <c r="Y349" i="3"/>
  <c r="V349" i="3"/>
  <c r="U349" i="3"/>
  <c r="T349" i="3"/>
  <c r="S349" i="3"/>
  <c r="B349" i="3"/>
  <c r="AS348" i="3"/>
  <c r="AH348" i="3"/>
  <c r="AA348" i="3"/>
  <c r="Y348" i="3"/>
  <c r="V348" i="3"/>
  <c r="U348" i="3"/>
  <c r="T348" i="3"/>
  <c r="S348" i="3"/>
  <c r="R348" i="3"/>
  <c r="Q348" i="3"/>
  <c r="L348" i="3"/>
  <c r="K348" i="3"/>
  <c r="J348" i="3"/>
  <c r="I348" i="3"/>
  <c r="AS347" i="3"/>
  <c r="AH347" i="3"/>
  <c r="AA347" i="3"/>
  <c r="Y347" i="3"/>
  <c r="V347" i="3"/>
  <c r="U347" i="3"/>
  <c r="T347" i="3"/>
  <c r="S347" i="3"/>
  <c r="B347" i="3"/>
  <c r="AS346" i="3"/>
  <c r="AH346" i="3"/>
  <c r="AA346" i="3"/>
  <c r="Y346" i="3"/>
  <c r="V346" i="3"/>
  <c r="U346" i="3"/>
  <c r="T346" i="3"/>
  <c r="S346" i="3"/>
  <c r="B346" i="3"/>
  <c r="AS345" i="3"/>
  <c r="AH345" i="3"/>
  <c r="AA345" i="3"/>
  <c r="Y345" i="3"/>
  <c r="V345" i="3"/>
  <c r="U345" i="3"/>
  <c r="T345" i="3"/>
  <c r="S345" i="3"/>
  <c r="R345" i="3"/>
  <c r="Q345" i="3"/>
  <c r="L345" i="3"/>
  <c r="K345" i="3"/>
  <c r="J345" i="3"/>
  <c r="I345" i="3"/>
  <c r="AS344" i="3"/>
  <c r="AH344" i="3"/>
  <c r="AG344" i="3"/>
  <c r="AA344" i="3"/>
  <c r="Y344" i="3"/>
  <c r="V344" i="3"/>
  <c r="U344" i="3"/>
  <c r="T344" i="3"/>
  <c r="S344" i="3"/>
  <c r="B344" i="3"/>
  <c r="AS343" i="3"/>
  <c r="AH343" i="3"/>
  <c r="AG343" i="3"/>
  <c r="AA343" i="3"/>
  <c r="Y343" i="3"/>
  <c r="V343" i="3"/>
  <c r="U343" i="3"/>
  <c r="T343" i="3"/>
  <c r="S343" i="3"/>
  <c r="B343" i="3"/>
  <c r="AS342" i="3"/>
  <c r="AH342" i="3"/>
  <c r="AG342" i="3"/>
  <c r="AA342" i="3"/>
  <c r="Y342" i="3"/>
  <c r="V342" i="3"/>
  <c r="U342" i="3"/>
  <c r="T342" i="3"/>
  <c r="S342" i="3"/>
  <c r="B342" i="3"/>
  <c r="AS341" i="3"/>
  <c r="AH341" i="3"/>
  <c r="AA341" i="3"/>
  <c r="Y341" i="3"/>
  <c r="V341" i="3"/>
  <c r="U341" i="3"/>
  <c r="T341" i="3"/>
  <c r="S341" i="3"/>
  <c r="R341" i="3"/>
  <c r="Q341" i="3"/>
  <c r="L341" i="3"/>
  <c r="K341" i="3"/>
  <c r="J341" i="3"/>
  <c r="I341" i="3"/>
  <c r="AS340" i="3"/>
  <c r="AH340" i="3"/>
  <c r="AA340" i="3"/>
  <c r="Y340" i="3"/>
  <c r="V340" i="3"/>
  <c r="U340" i="3"/>
  <c r="T340" i="3"/>
  <c r="S340" i="3"/>
  <c r="B340" i="3"/>
  <c r="AS339" i="3"/>
  <c r="AH339" i="3"/>
  <c r="AA339" i="3"/>
  <c r="Y339" i="3"/>
  <c r="V339" i="3"/>
  <c r="U339" i="3"/>
  <c r="T339" i="3"/>
  <c r="S339" i="3"/>
  <c r="B339" i="3"/>
  <c r="AS338" i="3"/>
  <c r="AH338" i="3"/>
  <c r="AG338" i="3"/>
  <c r="AA338" i="3"/>
  <c r="Y338" i="3"/>
  <c r="V338" i="3"/>
  <c r="U338" i="3"/>
  <c r="T338" i="3"/>
  <c r="S338" i="3"/>
  <c r="B338" i="3"/>
  <c r="AS337" i="3"/>
  <c r="AH337" i="3"/>
  <c r="AA337" i="3"/>
  <c r="Y337" i="3"/>
  <c r="V337" i="3"/>
  <c r="T337" i="3"/>
  <c r="S337" i="3"/>
  <c r="B337" i="3"/>
  <c r="AS336" i="3"/>
  <c r="AH336" i="3"/>
  <c r="AA336" i="3"/>
  <c r="Y336" i="3"/>
  <c r="V336" i="3"/>
  <c r="T336" i="3"/>
  <c r="S336" i="3"/>
  <c r="B336" i="3"/>
  <c r="AS335" i="3"/>
  <c r="AH335" i="3"/>
  <c r="AA335" i="3"/>
  <c r="Y335" i="3"/>
  <c r="V335" i="3"/>
  <c r="T335" i="3"/>
  <c r="S335" i="3"/>
  <c r="B335" i="3"/>
  <c r="AS334" i="3"/>
  <c r="AH334" i="3"/>
  <c r="AA334" i="3"/>
  <c r="Y334" i="3"/>
  <c r="V334" i="3"/>
  <c r="U334" i="3"/>
  <c r="T334" i="3"/>
  <c r="S334" i="3"/>
  <c r="R334" i="3"/>
  <c r="Q334" i="3"/>
  <c r="L334" i="3"/>
  <c r="K334" i="3"/>
  <c r="J334" i="3"/>
  <c r="I334" i="3"/>
  <c r="AS333" i="3"/>
  <c r="AH333" i="3"/>
  <c r="AG333" i="3"/>
  <c r="AA333" i="3"/>
  <c r="Y333" i="3"/>
  <c r="V333" i="3"/>
  <c r="U333" i="3"/>
  <c r="T333" i="3"/>
  <c r="S333" i="3"/>
  <c r="B333" i="3"/>
  <c r="AS332" i="3"/>
  <c r="AH332" i="3"/>
  <c r="AA332" i="3"/>
  <c r="Y332" i="3"/>
  <c r="V332" i="3"/>
  <c r="U332" i="3"/>
  <c r="T332" i="3"/>
  <c r="S332" i="3"/>
  <c r="B332" i="3"/>
  <c r="AS331" i="3"/>
  <c r="AH331" i="3"/>
  <c r="AA331" i="3"/>
  <c r="Y331" i="3"/>
  <c r="V331" i="3"/>
  <c r="U331" i="3"/>
  <c r="T331" i="3"/>
  <c r="S331" i="3"/>
  <c r="B331" i="3"/>
  <c r="AS330" i="3"/>
  <c r="AH330" i="3"/>
  <c r="AA330" i="3"/>
  <c r="Y330" i="3"/>
  <c r="V330" i="3"/>
  <c r="U330" i="3"/>
  <c r="T330" i="3"/>
  <c r="S330" i="3"/>
  <c r="B330" i="3"/>
  <c r="AS329" i="3"/>
  <c r="AH329" i="3"/>
  <c r="AA329" i="3"/>
  <c r="Y329" i="3"/>
  <c r="V329" i="3"/>
  <c r="U329" i="3"/>
  <c r="T329" i="3"/>
  <c r="S329" i="3"/>
  <c r="B329" i="3"/>
  <c r="AS328" i="3"/>
  <c r="AH328" i="3"/>
  <c r="AA328" i="3"/>
  <c r="Y328" i="3"/>
  <c r="V328" i="3"/>
  <c r="U328" i="3"/>
  <c r="T328" i="3"/>
  <c r="S328" i="3"/>
  <c r="B328" i="3"/>
  <c r="AS327" i="3"/>
  <c r="AH327" i="3"/>
  <c r="AA327" i="3"/>
  <c r="Y327" i="3"/>
  <c r="V327" i="3"/>
  <c r="T327" i="3"/>
  <c r="S327" i="3"/>
  <c r="B327" i="3"/>
  <c r="AS326" i="3"/>
  <c r="AH326" i="3"/>
  <c r="AG326" i="3"/>
  <c r="AA326" i="3"/>
  <c r="Y326" i="3"/>
  <c r="V326" i="3"/>
  <c r="U326" i="3"/>
  <c r="T326" i="3"/>
  <c r="S326" i="3"/>
  <c r="B326" i="3"/>
  <c r="AS325" i="3"/>
  <c r="AH325" i="3"/>
  <c r="AG325" i="3"/>
  <c r="AA325" i="3"/>
  <c r="Y325" i="3"/>
  <c r="V325" i="3"/>
  <c r="U325" i="3"/>
  <c r="T325" i="3"/>
  <c r="S325" i="3"/>
  <c r="B325" i="3"/>
  <c r="AS324" i="3"/>
  <c r="AH324" i="3"/>
  <c r="AA324" i="3"/>
  <c r="Y324" i="3"/>
  <c r="V324" i="3"/>
  <c r="T324" i="3"/>
  <c r="S324" i="3"/>
  <c r="B324" i="3"/>
  <c r="AS323" i="3"/>
  <c r="AH323" i="3"/>
  <c r="AG323" i="3"/>
  <c r="AA323" i="3"/>
  <c r="Y323" i="3"/>
  <c r="V323" i="3"/>
  <c r="U323" i="3"/>
  <c r="T323" i="3"/>
  <c r="S323" i="3"/>
  <c r="B323" i="3"/>
  <c r="AS322" i="3"/>
  <c r="AH322" i="3"/>
  <c r="AA322" i="3"/>
  <c r="Y322" i="3"/>
  <c r="V322" i="3"/>
  <c r="U322" i="3"/>
  <c r="T322" i="3"/>
  <c r="S322" i="3"/>
  <c r="B322" i="3"/>
  <c r="AS321" i="3"/>
  <c r="AH321" i="3"/>
  <c r="AA321" i="3"/>
  <c r="Y321" i="3"/>
  <c r="V321" i="3"/>
  <c r="U321" i="3"/>
  <c r="T321" i="3"/>
  <c r="S321" i="3"/>
  <c r="B321" i="3"/>
  <c r="AS320" i="3"/>
  <c r="AH320" i="3"/>
  <c r="AA320" i="3"/>
  <c r="Y320" i="3"/>
  <c r="V320" i="3"/>
  <c r="U320" i="3"/>
  <c r="T320" i="3"/>
  <c r="S320" i="3"/>
  <c r="B320" i="3"/>
  <c r="AS319" i="3"/>
  <c r="AH319" i="3"/>
  <c r="AA319" i="3"/>
  <c r="Y319" i="3"/>
  <c r="V319" i="3"/>
  <c r="U319" i="3"/>
  <c r="T319" i="3"/>
  <c r="S319" i="3"/>
  <c r="B319" i="3"/>
  <c r="AS318" i="3"/>
  <c r="AH318" i="3"/>
  <c r="AG318" i="3"/>
  <c r="AA318" i="3"/>
  <c r="Y318" i="3"/>
  <c r="V318" i="3"/>
  <c r="U318" i="3"/>
  <c r="T318" i="3"/>
  <c r="S318" i="3"/>
  <c r="B318" i="3"/>
  <c r="AS317" i="3"/>
  <c r="AH317" i="3"/>
  <c r="AA317" i="3"/>
  <c r="Y317" i="3"/>
  <c r="V317" i="3"/>
  <c r="U317" i="3"/>
  <c r="T317" i="3"/>
  <c r="S317" i="3"/>
  <c r="B317" i="3"/>
  <c r="AS316" i="3"/>
  <c r="AH316" i="3"/>
  <c r="AA316" i="3"/>
  <c r="Y316" i="3"/>
  <c r="V316" i="3"/>
  <c r="U316" i="3"/>
  <c r="T316" i="3"/>
  <c r="S316" i="3"/>
  <c r="R316" i="3"/>
  <c r="Q316" i="3"/>
  <c r="L316" i="3"/>
  <c r="K316" i="3"/>
  <c r="J316" i="3"/>
  <c r="I316" i="3"/>
  <c r="AS315" i="3"/>
  <c r="AH315" i="3"/>
  <c r="AA315" i="3"/>
  <c r="Y315" i="3"/>
  <c r="V315" i="3"/>
  <c r="U315" i="3"/>
  <c r="T315" i="3"/>
  <c r="S315" i="3"/>
  <c r="B315" i="3"/>
  <c r="AS314" i="3"/>
  <c r="AH314" i="3"/>
  <c r="AA314" i="3"/>
  <c r="Y314" i="3"/>
  <c r="V314" i="3"/>
  <c r="U314" i="3"/>
  <c r="T314" i="3"/>
  <c r="S314" i="3"/>
  <c r="B314" i="3"/>
  <c r="AS313" i="3"/>
  <c r="AH313" i="3"/>
  <c r="AA313" i="3"/>
  <c r="Y313" i="3"/>
  <c r="V313" i="3"/>
  <c r="U313" i="3"/>
  <c r="T313" i="3"/>
  <c r="S313" i="3"/>
  <c r="B313" i="3"/>
  <c r="AS312" i="3"/>
  <c r="AH312" i="3"/>
  <c r="AG312" i="3"/>
  <c r="AA312" i="3"/>
  <c r="Y312" i="3"/>
  <c r="V312" i="3"/>
  <c r="U312" i="3"/>
  <c r="T312" i="3"/>
  <c r="S312" i="3"/>
  <c r="B312" i="3"/>
  <c r="AS311" i="3"/>
  <c r="AH311" i="3"/>
  <c r="AG311" i="3"/>
  <c r="AA311" i="3"/>
  <c r="Y311" i="3"/>
  <c r="V311" i="3"/>
  <c r="U311" i="3"/>
  <c r="T311" i="3"/>
  <c r="S311" i="3"/>
  <c r="B311" i="3"/>
  <c r="AS310" i="3"/>
  <c r="AR310" i="3"/>
  <c r="AH310" i="3"/>
  <c r="AA310" i="3"/>
  <c r="Y310" i="3"/>
  <c r="V310" i="3"/>
  <c r="U310" i="3"/>
  <c r="T310" i="3"/>
  <c r="S310" i="3"/>
  <c r="B310" i="3"/>
  <c r="AS309" i="3"/>
  <c r="AH309" i="3"/>
  <c r="AA309" i="3"/>
  <c r="Y309" i="3"/>
  <c r="V309" i="3"/>
  <c r="U309" i="3"/>
  <c r="T309" i="3"/>
  <c r="S309" i="3"/>
  <c r="B309" i="3"/>
  <c r="AS308" i="3"/>
  <c r="AH308" i="3"/>
  <c r="AA308" i="3"/>
  <c r="Y308" i="3"/>
  <c r="V308" i="3"/>
  <c r="U308" i="3"/>
  <c r="T308" i="3"/>
  <c r="S308" i="3"/>
  <c r="B308" i="3"/>
  <c r="AS307" i="3"/>
  <c r="AH307" i="3"/>
  <c r="AG307" i="3"/>
  <c r="AA307" i="3"/>
  <c r="Y307" i="3"/>
  <c r="V307" i="3"/>
  <c r="U307" i="3"/>
  <c r="T307" i="3"/>
  <c r="S307" i="3"/>
  <c r="B307" i="3"/>
  <c r="AS306" i="3"/>
  <c r="AH306" i="3"/>
  <c r="AA306" i="3"/>
  <c r="Y306" i="3"/>
  <c r="V306" i="3"/>
  <c r="U306" i="3"/>
  <c r="T306" i="3"/>
  <c r="S306" i="3"/>
  <c r="B306" i="3"/>
  <c r="AS305" i="3"/>
  <c r="AH305" i="3"/>
  <c r="AA305" i="3"/>
  <c r="Y305" i="3"/>
  <c r="V305" i="3"/>
  <c r="U305" i="3"/>
  <c r="T305" i="3"/>
  <c r="S305" i="3"/>
  <c r="B305" i="3"/>
  <c r="AS304" i="3"/>
  <c r="AR304" i="3"/>
  <c r="AH304" i="3"/>
  <c r="AA304" i="3"/>
  <c r="Y304" i="3"/>
  <c r="V304" i="3"/>
  <c r="U304" i="3"/>
  <c r="T304" i="3"/>
  <c r="S304" i="3"/>
  <c r="B304" i="3"/>
  <c r="AS303" i="3"/>
  <c r="AH303" i="3"/>
  <c r="AA303" i="3"/>
  <c r="Y303" i="3"/>
  <c r="V303" i="3"/>
  <c r="U303" i="3"/>
  <c r="T303" i="3"/>
  <c r="S303" i="3"/>
  <c r="B303" i="3"/>
  <c r="AS302" i="3"/>
  <c r="AH302" i="3"/>
  <c r="AA302" i="3"/>
  <c r="Y302" i="3"/>
  <c r="V302" i="3"/>
  <c r="U302" i="3"/>
  <c r="T302" i="3"/>
  <c r="S302" i="3"/>
  <c r="B302" i="3"/>
  <c r="AS301" i="3"/>
  <c r="AH301" i="3"/>
  <c r="AA301" i="3"/>
  <c r="Y301" i="3"/>
  <c r="V301" i="3"/>
  <c r="U301" i="3"/>
  <c r="T301" i="3"/>
  <c r="S301" i="3"/>
  <c r="B301" i="3"/>
  <c r="AS300" i="3"/>
  <c r="AH300" i="3"/>
  <c r="AA300" i="3"/>
  <c r="Y300" i="3"/>
  <c r="V300" i="3"/>
  <c r="U300" i="3"/>
  <c r="T300" i="3"/>
  <c r="S300" i="3"/>
  <c r="B300" i="3"/>
  <c r="AS299" i="3"/>
  <c r="AH299" i="3"/>
  <c r="AA299" i="3"/>
  <c r="Y299" i="3"/>
  <c r="V299" i="3"/>
  <c r="U299" i="3"/>
  <c r="T299" i="3"/>
  <c r="S299" i="3"/>
  <c r="B299" i="3"/>
  <c r="AS298" i="3"/>
  <c r="AH298" i="3"/>
  <c r="AA298" i="3"/>
  <c r="Y298" i="3"/>
  <c r="V298" i="3"/>
  <c r="U298" i="3"/>
  <c r="T298" i="3"/>
  <c r="S298" i="3"/>
  <c r="R298" i="3"/>
  <c r="Q298" i="3"/>
  <c r="L298" i="3"/>
  <c r="K298" i="3"/>
  <c r="J298" i="3"/>
  <c r="I298" i="3"/>
  <c r="AS297" i="3"/>
  <c r="AH297" i="3"/>
  <c r="AA297" i="3"/>
  <c r="Y297" i="3"/>
  <c r="V297" i="3"/>
  <c r="U297" i="3"/>
  <c r="T297" i="3"/>
  <c r="S297" i="3"/>
  <c r="B297" i="3"/>
  <c r="AS296" i="3"/>
  <c r="AH296" i="3"/>
  <c r="AA296" i="3"/>
  <c r="Y296" i="3"/>
  <c r="V296" i="3"/>
  <c r="U296" i="3"/>
  <c r="T296" i="3"/>
  <c r="S296" i="3"/>
  <c r="R296" i="3"/>
  <c r="Q296" i="3"/>
  <c r="L296" i="3"/>
  <c r="K296" i="3"/>
  <c r="J296" i="3"/>
  <c r="I296" i="3"/>
  <c r="AS295" i="3"/>
  <c r="AH295" i="3"/>
  <c r="AA295" i="3"/>
  <c r="Y295" i="3"/>
  <c r="V295" i="3"/>
  <c r="T295" i="3"/>
  <c r="S295" i="3"/>
  <c r="B295" i="3"/>
  <c r="AS294" i="3"/>
  <c r="AH294" i="3"/>
  <c r="AA294" i="3"/>
  <c r="Y294" i="3"/>
  <c r="V294" i="3"/>
  <c r="T294" i="3"/>
  <c r="S294" i="3"/>
  <c r="B294" i="3"/>
  <c r="AS293" i="3"/>
  <c r="AH293" i="3"/>
  <c r="AA293" i="3"/>
  <c r="Y293" i="3"/>
  <c r="V293" i="3"/>
  <c r="T293" i="3"/>
  <c r="S293" i="3"/>
  <c r="B293" i="3"/>
  <c r="AS292" i="3"/>
  <c r="AH292" i="3"/>
  <c r="AA292" i="3"/>
  <c r="Y292" i="3"/>
  <c r="V292" i="3"/>
  <c r="T292" i="3"/>
  <c r="S292" i="3"/>
  <c r="B292" i="3"/>
  <c r="AS291" i="3"/>
  <c r="AH291" i="3"/>
  <c r="AA291" i="3"/>
  <c r="Y291" i="3"/>
  <c r="V291" i="3"/>
  <c r="U291" i="3"/>
  <c r="T291" i="3"/>
  <c r="S291" i="3"/>
  <c r="B291" i="3"/>
  <c r="AS290" i="3"/>
  <c r="AH290" i="3"/>
  <c r="AA290" i="3"/>
  <c r="Y290" i="3"/>
  <c r="V290" i="3"/>
  <c r="U290" i="3"/>
  <c r="T290" i="3"/>
  <c r="S290" i="3"/>
  <c r="R290" i="3"/>
  <c r="Q290" i="3"/>
  <c r="L290" i="3"/>
  <c r="K290" i="3"/>
  <c r="J290" i="3"/>
  <c r="I290" i="3"/>
  <c r="AS289" i="3"/>
  <c r="AH289" i="3"/>
  <c r="AA289" i="3"/>
  <c r="Y289" i="3"/>
  <c r="V289" i="3"/>
  <c r="T289" i="3"/>
  <c r="S289" i="3"/>
  <c r="B289" i="3"/>
  <c r="AS288" i="3"/>
  <c r="AH288" i="3"/>
  <c r="AA288" i="3"/>
  <c r="Y288" i="3"/>
  <c r="V288" i="3"/>
  <c r="T288" i="3"/>
  <c r="S288" i="3"/>
  <c r="B288" i="3"/>
  <c r="AS287" i="3"/>
  <c r="AH287" i="3"/>
  <c r="AG287" i="3"/>
  <c r="AA287" i="3"/>
  <c r="Y287" i="3"/>
  <c r="V287" i="3"/>
  <c r="U287" i="3"/>
  <c r="T287" i="3"/>
  <c r="S287" i="3"/>
  <c r="B287" i="3"/>
  <c r="AS286" i="3"/>
  <c r="AH286" i="3"/>
  <c r="AG286" i="3"/>
  <c r="AA286" i="3"/>
  <c r="Y286" i="3"/>
  <c r="V286" i="3"/>
  <c r="U286" i="3"/>
  <c r="T286" i="3"/>
  <c r="S286" i="3"/>
  <c r="B286" i="3"/>
  <c r="AS285" i="3"/>
  <c r="AH285" i="3"/>
  <c r="AG285" i="3"/>
  <c r="AA285" i="3"/>
  <c r="Y285" i="3"/>
  <c r="V285" i="3"/>
  <c r="U285" i="3"/>
  <c r="T285" i="3"/>
  <c r="S285" i="3"/>
  <c r="B285" i="3"/>
  <c r="AS284" i="3"/>
  <c r="AH284" i="3"/>
  <c r="AA284" i="3"/>
  <c r="Y284" i="3"/>
  <c r="V284" i="3"/>
  <c r="U284" i="3"/>
  <c r="T284" i="3"/>
  <c r="S284" i="3"/>
  <c r="R284" i="3"/>
  <c r="Q284" i="3"/>
  <c r="L284" i="3"/>
  <c r="K284" i="3"/>
  <c r="J284" i="3"/>
  <c r="I284" i="3"/>
  <c r="AS283" i="3"/>
  <c r="AH283" i="3"/>
  <c r="AA283" i="3"/>
  <c r="Y283" i="3"/>
  <c r="V283" i="3"/>
  <c r="U283" i="3"/>
  <c r="T283" i="3"/>
  <c r="S283" i="3"/>
  <c r="B283" i="3"/>
  <c r="AS282" i="3"/>
  <c r="AH282" i="3"/>
  <c r="AA282" i="3"/>
  <c r="Y282" i="3"/>
  <c r="V282" i="3"/>
  <c r="U282" i="3"/>
  <c r="T282" i="3"/>
  <c r="S282" i="3"/>
  <c r="B282" i="3"/>
  <c r="AS281" i="3"/>
  <c r="AH281" i="3"/>
  <c r="AA281" i="3"/>
  <c r="Y281" i="3"/>
  <c r="V281" i="3"/>
  <c r="U281" i="3"/>
  <c r="T281" i="3"/>
  <c r="S281" i="3"/>
  <c r="R281" i="3"/>
  <c r="Q281" i="3"/>
  <c r="L281" i="3"/>
  <c r="K281" i="3"/>
  <c r="J281" i="3"/>
  <c r="I281" i="3"/>
  <c r="AS280" i="3"/>
  <c r="AH280" i="3"/>
  <c r="AA280" i="3"/>
  <c r="Y280" i="3"/>
  <c r="V280" i="3"/>
  <c r="T280" i="3"/>
  <c r="S280" i="3"/>
  <c r="B280" i="3"/>
  <c r="AS279" i="3"/>
  <c r="AH279" i="3"/>
  <c r="AA279" i="3"/>
  <c r="Y279" i="3"/>
  <c r="V279" i="3"/>
  <c r="U279" i="3"/>
  <c r="T279" i="3"/>
  <c r="S279" i="3"/>
  <c r="R279" i="3"/>
  <c r="Q279" i="3"/>
  <c r="L279" i="3"/>
  <c r="K279" i="3"/>
  <c r="J279" i="3"/>
  <c r="I279" i="3"/>
  <c r="AS278" i="3"/>
  <c r="AH278" i="3"/>
  <c r="AA278" i="3"/>
  <c r="Y278" i="3"/>
  <c r="V278" i="3"/>
  <c r="U278" i="3"/>
  <c r="T278" i="3"/>
  <c r="S278" i="3"/>
  <c r="B278" i="3"/>
  <c r="AS277" i="3"/>
  <c r="AH277" i="3"/>
  <c r="AA277" i="3"/>
  <c r="Y277" i="3"/>
  <c r="V277" i="3"/>
  <c r="U277" i="3"/>
  <c r="T277" i="3"/>
  <c r="S277" i="3"/>
  <c r="B277" i="3"/>
  <c r="AS276" i="3"/>
  <c r="AH276" i="3"/>
  <c r="AA276" i="3"/>
  <c r="Y276" i="3"/>
  <c r="V276" i="3"/>
  <c r="T276" i="3"/>
  <c r="S276" i="3"/>
  <c r="B276" i="3"/>
  <c r="AS275" i="3"/>
  <c r="AH275" i="3"/>
  <c r="AA275" i="3"/>
  <c r="Y275" i="3"/>
  <c r="V275" i="3"/>
  <c r="U275" i="3"/>
  <c r="T275" i="3"/>
  <c r="S275" i="3"/>
  <c r="B275" i="3"/>
  <c r="AS274" i="3"/>
  <c r="AH274" i="3"/>
  <c r="AA274" i="3"/>
  <c r="Y274" i="3"/>
  <c r="V274" i="3"/>
  <c r="U274" i="3"/>
  <c r="T274" i="3"/>
  <c r="S274" i="3"/>
  <c r="R274" i="3"/>
  <c r="Q274" i="3"/>
  <c r="L274" i="3"/>
  <c r="K274" i="3"/>
  <c r="J274" i="3"/>
  <c r="I274" i="3"/>
  <c r="AS273" i="3"/>
  <c r="AH273" i="3"/>
  <c r="AA273" i="3"/>
  <c r="Y273" i="3"/>
  <c r="V273" i="3"/>
  <c r="U273" i="3"/>
  <c r="T273" i="3"/>
  <c r="S273" i="3"/>
  <c r="K273" i="3"/>
  <c r="B273" i="3"/>
  <c r="AS272" i="3"/>
  <c r="AH272" i="3"/>
  <c r="AA272" i="3"/>
  <c r="Y272" i="3"/>
  <c r="V272" i="3"/>
  <c r="U272" i="3"/>
  <c r="T272" i="3"/>
  <c r="S272" i="3"/>
  <c r="B272" i="3"/>
  <c r="AS271" i="3"/>
  <c r="AH271" i="3"/>
  <c r="AG271" i="3"/>
  <c r="AA271" i="3"/>
  <c r="Y271" i="3"/>
  <c r="V271" i="3"/>
  <c r="U271" i="3"/>
  <c r="T271" i="3"/>
  <c r="S271" i="3"/>
  <c r="B271" i="3"/>
  <c r="AS270" i="3"/>
  <c r="AH270" i="3"/>
  <c r="AA270" i="3"/>
  <c r="Y270" i="3"/>
  <c r="V270" i="3"/>
  <c r="U270" i="3"/>
  <c r="T270" i="3"/>
  <c r="S270" i="3"/>
  <c r="B270" i="3"/>
  <c r="AS269" i="3"/>
  <c r="AH269" i="3"/>
  <c r="AA269" i="3"/>
  <c r="Y269" i="3"/>
  <c r="V269" i="3"/>
  <c r="U269" i="3"/>
  <c r="T269" i="3"/>
  <c r="S269" i="3"/>
  <c r="B269" i="3"/>
  <c r="AS268" i="3"/>
  <c r="AH268" i="3"/>
  <c r="AG268" i="3"/>
  <c r="AA268" i="3"/>
  <c r="Y268" i="3"/>
  <c r="V268" i="3"/>
  <c r="U268" i="3"/>
  <c r="T268" i="3"/>
  <c r="S268" i="3"/>
  <c r="B268" i="3"/>
  <c r="AS267" i="3"/>
  <c r="AH267" i="3"/>
  <c r="AA267" i="3"/>
  <c r="Y267" i="3"/>
  <c r="V267" i="3"/>
  <c r="U267" i="3"/>
  <c r="T267" i="3"/>
  <c r="S267" i="3"/>
  <c r="R267" i="3"/>
  <c r="Q267" i="3"/>
  <c r="L267" i="3"/>
  <c r="K267" i="3"/>
  <c r="J267" i="3"/>
  <c r="I267" i="3"/>
  <c r="AS266" i="3"/>
  <c r="AH266" i="3"/>
  <c r="AA266" i="3"/>
  <c r="Y266" i="3"/>
  <c r="V266" i="3"/>
  <c r="U266" i="3"/>
  <c r="T266" i="3"/>
  <c r="S266" i="3"/>
  <c r="B266" i="3"/>
  <c r="AS265" i="3"/>
  <c r="AH265" i="3"/>
  <c r="AA265" i="3"/>
  <c r="Y265" i="3"/>
  <c r="V265" i="3"/>
  <c r="U265" i="3"/>
  <c r="T265" i="3"/>
  <c r="S265" i="3"/>
  <c r="B265" i="3"/>
  <c r="AS264" i="3"/>
  <c r="AH264" i="3"/>
  <c r="AA264" i="3"/>
  <c r="Y264" i="3"/>
  <c r="V264" i="3"/>
  <c r="U264" i="3"/>
  <c r="T264" i="3"/>
  <c r="S264" i="3"/>
  <c r="B264" i="3"/>
  <c r="AS263" i="3"/>
  <c r="AH263" i="3"/>
  <c r="AA263" i="3"/>
  <c r="Y263" i="3"/>
  <c r="V263" i="3"/>
  <c r="T263" i="3"/>
  <c r="S263" i="3"/>
  <c r="B263" i="3"/>
  <c r="AS262" i="3"/>
  <c r="AH262" i="3"/>
  <c r="AA262" i="3"/>
  <c r="Y262" i="3"/>
  <c r="V262" i="3"/>
  <c r="U262" i="3"/>
  <c r="T262" i="3"/>
  <c r="S262" i="3"/>
  <c r="B262" i="3"/>
  <c r="AS261" i="3"/>
  <c r="AH261" i="3"/>
  <c r="AA261" i="3"/>
  <c r="Y261" i="3"/>
  <c r="V261" i="3"/>
  <c r="U261" i="3"/>
  <c r="T261" i="3"/>
  <c r="S261" i="3"/>
  <c r="B261" i="3"/>
  <c r="AS260" i="3"/>
  <c r="AH260" i="3"/>
  <c r="AA260" i="3"/>
  <c r="Y260" i="3"/>
  <c r="V260" i="3"/>
  <c r="U260" i="3"/>
  <c r="T260" i="3"/>
  <c r="S260" i="3"/>
  <c r="B260" i="3"/>
  <c r="AS259" i="3"/>
  <c r="AH259" i="3"/>
  <c r="AA259" i="3"/>
  <c r="Y259" i="3"/>
  <c r="V259" i="3"/>
  <c r="U259" i="3"/>
  <c r="T259" i="3"/>
  <c r="S259" i="3"/>
  <c r="R259" i="3"/>
  <c r="Q259" i="3"/>
  <c r="L259" i="3"/>
  <c r="K259" i="3"/>
  <c r="J259" i="3"/>
  <c r="I259" i="3"/>
  <c r="AS258" i="3"/>
  <c r="AH258" i="3"/>
  <c r="AA258" i="3"/>
  <c r="Y258" i="3"/>
  <c r="U258" i="3"/>
  <c r="V258" i="3" s="1"/>
  <c r="T258" i="3"/>
  <c r="S258" i="3"/>
  <c r="K258" i="3"/>
  <c r="B258" i="3"/>
  <c r="AS257" i="3"/>
  <c r="AH257" i="3"/>
  <c r="AA257" i="3"/>
  <c r="Y257" i="3"/>
  <c r="T257" i="3"/>
  <c r="U257" i="3" s="1"/>
  <c r="V257" i="3" s="1"/>
  <c r="S257" i="3"/>
  <c r="B257" i="3"/>
  <c r="AS256" i="3"/>
  <c r="AH256" i="3"/>
  <c r="AA256" i="3"/>
  <c r="Y256" i="3"/>
  <c r="T256" i="3"/>
  <c r="U256" i="3" s="1"/>
  <c r="V256" i="3" s="1"/>
  <c r="S256" i="3"/>
  <c r="B256" i="3"/>
  <c r="AS255" i="3"/>
  <c r="AH255" i="3"/>
  <c r="AA255" i="3"/>
  <c r="Y255" i="3"/>
  <c r="U255" i="3"/>
  <c r="V255" i="3" s="1"/>
  <c r="T255" i="3"/>
  <c r="S255" i="3"/>
  <c r="B255" i="3"/>
  <c r="AS254" i="3"/>
  <c r="AH254" i="3"/>
  <c r="AA254" i="3"/>
  <c r="Y254" i="3"/>
  <c r="V254" i="3"/>
  <c r="U254" i="3"/>
  <c r="T254" i="3"/>
  <c r="S254" i="3"/>
  <c r="B254" i="3"/>
  <c r="AS253" i="3"/>
  <c r="AH253" i="3"/>
  <c r="AA253" i="3"/>
  <c r="Y253" i="3"/>
  <c r="T253" i="3"/>
  <c r="V253" i="3" s="1"/>
  <c r="S253" i="3"/>
  <c r="B253" i="3"/>
  <c r="AS252" i="3"/>
  <c r="AH252" i="3"/>
  <c r="AA252" i="3"/>
  <c r="Y252" i="3"/>
  <c r="U252" i="3"/>
  <c r="T252" i="3"/>
  <c r="V252" i="3" s="1"/>
  <c r="S252" i="3"/>
  <c r="B252" i="3"/>
  <c r="AS251" i="3"/>
  <c r="AH251" i="3"/>
  <c r="AA251" i="3"/>
  <c r="Y251" i="3"/>
  <c r="U251" i="3"/>
  <c r="T251" i="3"/>
  <c r="V251" i="3" s="1"/>
  <c r="S251" i="3"/>
  <c r="B251" i="3"/>
  <c r="AS250" i="3"/>
  <c r="AH250" i="3"/>
  <c r="AA250" i="3"/>
  <c r="Y250" i="3"/>
  <c r="T250" i="3"/>
  <c r="V250" i="3" s="1"/>
  <c r="S250" i="3"/>
  <c r="B250" i="3"/>
  <c r="AS249" i="3"/>
  <c r="AH249" i="3"/>
  <c r="AA249" i="3"/>
  <c r="Y249" i="3"/>
  <c r="V249" i="3"/>
  <c r="U249" i="3"/>
  <c r="T249" i="3"/>
  <c r="S249" i="3"/>
  <c r="B249" i="3"/>
  <c r="AS248" i="3"/>
  <c r="AH248" i="3"/>
  <c r="AA248" i="3"/>
  <c r="Y248" i="3"/>
  <c r="V248" i="3"/>
  <c r="T248" i="3"/>
  <c r="S248" i="3"/>
  <c r="B248" i="3"/>
  <c r="AS247" i="3"/>
  <c r="AH247" i="3"/>
  <c r="AA247" i="3"/>
  <c r="Y247" i="3"/>
  <c r="V247" i="3"/>
  <c r="U247" i="3"/>
  <c r="T247" i="3"/>
  <c r="S247" i="3"/>
  <c r="B247" i="3"/>
  <c r="AS246" i="3"/>
  <c r="AH246" i="3"/>
  <c r="AG246" i="3"/>
  <c r="AA246" i="3"/>
  <c r="Y246" i="3"/>
  <c r="U246" i="3"/>
  <c r="T246" i="3"/>
  <c r="V246" i="3" s="1"/>
  <c r="S246" i="3"/>
  <c r="B246" i="3"/>
  <c r="AS245" i="3"/>
  <c r="AH245" i="3"/>
  <c r="AA245" i="3"/>
  <c r="Y245" i="3"/>
  <c r="U245" i="3"/>
  <c r="V245" i="3" s="1"/>
  <c r="T245" i="3"/>
  <c r="S245" i="3"/>
  <c r="B245" i="3"/>
  <c r="AS244" i="3"/>
  <c r="AH244" i="3"/>
  <c r="AA244" i="3"/>
  <c r="Y244" i="3"/>
  <c r="T244" i="3"/>
  <c r="U244" i="3" s="1"/>
  <c r="V244" i="3" s="1"/>
  <c r="S244" i="3"/>
  <c r="B244" i="3"/>
  <c r="AS243" i="3"/>
  <c r="AH243" i="3"/>
  <c r="AA243" i="3"/>
  <c r="Y243" i="3"/>
  <c r="U243" i="3"/>
  <c r="T243" i="3"/>
  <c r="V243" i="3" s="1"/>
  <c r="S243" i="3"/>
  <c r="B243" i="3"/>
  <c r="AS242" i="3"/>
  <c r="AH242" i="3"/>
  <c r="AA242" i="3"/>
  <c r="Y242" i="3"/>
  <c r="T242" i="3"/>
  <c r="U242" i="3" s="1"/>
  <c r="V242" i="3" s="1"/>
  <c r="S242" i="3"/>
  <c r="B242" i="3"/>
  <c r="AS241" i="3"/>
  <c r="AH241" i="3"/>
  <c r="AA241" i="3"/>
  <c r="Y241" i="3"/>
  <c r="V241" i="3"/>
  <c r="U241" i="3"/>
  <c r="T241" i="3"/>
  <c r="S241" i="3"/>
  <c r="B241" i="3"/>
  <c r="AS240" i="3"/>
  <c r="AH240" i="3"/>
  <c r="AA240" i="3"/>
  <c r="Y240" i="3"/>
  <c r="V240" i="3"/>
  <c r="U240" i="3"/>
  <c r="T240" i="3"/>
  <c r="S240" i="3"/>
  <c r="B240" i="3"/>
  <c r="AS239" i="3"/>
  <c r="AR239" i="3"/>
  <c r="AH239" i="3"/>
  <c r="AA239" i="3"/>
  <c r="Y239" i="3"/>
  <c r="U239" i="3"/>
  <c r="T239" i="3"/>
  <c r="V239" i="3" s="1"/>
  <c r="S239" i="3"/>
  <c r="B239" i="3"/>
  <c r="AS238" i="3"/>
  <c r="AH238" i="3"/>
  <c r="AA238" i="3"/>
  <c r="Y238" i="3"/>
  <c r="V238" i="3"/>
  <c r="U238" i="3"/>
  <c r="T238" i="3"/>
  <c r="S238" i="3"/>
  <c r="B238" i="3"/>
  <c r="AS237" i="3"/>
  <c r="AH237" i="3"/>
  <c r="AA237" i="3"/>
  <c r="Y237" i="3"/>
  <c r="T237" i="3"/>
  <c r="U237" i="3" s="1"/>
  <c r="V237" i="3" s="1"/>
  <c r="S237" i="3"/>
  <c r="B237" i="3"/>
  <c r="AS236" i="3"/>
  <c r="AH236" i="3"/>
  <c r="AA236" i="3"/>
  <c r="Y236" i="3"/>
  <c r="T236" i="3"/>
  <c r="U236" i="3" s="1"/>
  <c r="V236" i="3" s="1"/>
  <c r="S236" i="3"/>
  <c r="B236" i="3"/>
  <c r="AS235" i="3"/>
  <c r="AR235" i="3"/>
  <c r="AH235" i="3"/>
  <c r="AA235" i="3"/>
  <c r="Y235" i="3"/>
  <c r="V235" i="3"/>
  <c r="U235" i="3"/>
  <c r="T235" i="3"/>
  <c r="S235" i="3"/>
  <c r="B235" i="3"/>
  <c r="AS234" i="3"/>
  <c r="AH234" i="3"/>
  <c r="AG234" i="3"/>
  <c r="AA234" i="3"/>
  <c r="Y234" i="3"/>
  <c r="U234" i="3"/>
  <c r="T234" i="3"/>
  <c r="V234" i="3" s="1"/>
  <c r="S234" i="3"/>
  <c r="B234" i="3"/>
  <c r="AS233" i="3"/>
  <c r="AH233" i="3"/>
  <c r="AA233" i="3"/>
  <c r="Y233" i="3"/>
  <c r="T233" i="3"/>
  <c r="V233" i="3" s="1"/>
  <c r="S233" i="3"/>
  <c r="S231" i="3" s="1"/>
  <c r="B233" i="3"/>
  <c r="AS232" i="3"/>
  <c r="AR232" i="3"/>
  <c r="AH232" i="3"/>
  <c r="AA232" i="3"/>
  <c r="Y232" i="3"/>
  <c r="U232" i="3"/>
  <c r="T232" i="3"/>
  <c r="S232" i="3"/>
  <c r="B232" i="3"/>
  <c r="AS231" i="3"/>
  <c r="AH231" i="3"/>
  <c r="AA231" i="3"/>
  <c r="Y231" i="3"/>
  <c r="T231" i="3"/>
  <c r="R231" i="3"/>
  <c r="Q231" i="3"/>
  <c r="L231" i="3"/>
  <c r="K231" i="3"/>
  <c r="J231" i="3"/>
  <c r="I231" i="3"/>
  <c r="AS230" i="3"/>
  <c r="AR230" i="3"/>
  <c r="AH230" i="3"/>
  <c r="AA230" i="3"/>
  <c r="Y230" i="3"/>
  <c r="V230" i="3"/>
  <c r="U230" i="3"/>
  <c r="T230" i="3"/>
  <c r="S230" i="3"/>
  <c r="B230" i="3"/>
  <c r="AS229" i="3"/>
  <c r="AR229" i="3"/>
  <c r="AH229" i="3"/>
  <c r="AA229" i="3"/>
  <c r="Y229" i="3"/>
  <c r="V229" i="3"/>
  <c r="U229" i="3"/>
  <c r="T229" i="3"/>
  <c r="S229" i="3"/>
  <c r="B229" i="3"/>
  <c r="AS228" i="3"/>
  <c r="AH228" i="3"/>
  <c r="AA228" i="3"/>
  <c r="Y228" i="3"/>
  <c r="V228" i="3"/>
  <c r="T228" i="3"/>
  <c r="S228" i="3"/>
  <c r="B228" i="3"/>
  <c r="AS227" i="3"/>
  <c r="AH227" i="3"/>
  <c r="AG227" i="3"/>
  <c r="AA227" i="3"/>
  <c r="Y227" i="3"/>
  <c r="V227" i="3"/>
  <c r="U227" i="3"/>
  <c r="T227" i="3"/>
  <c r="S227" i="3"/>
  <c r="B227" i="3"/>
  <c r="AS226" i="3"/>
  <c r="AH226" i="3"/>
  <c r="AG226" i="3"/>
  <c r="AA226" i="3"/>
  <c r="Y226" i="3"/>
  <c r="V226" i="3"/>
  <c r="U226" i="3"/>
  <c r="T226" i="3"/>
  <c r="S226" i="3"/>
  <c r="B226" i="3"/>
  <c r="AS225" i="3"/>
  <c r="AH225" i="3"/>
  <c r="AA225" i="3"/>
  <c r="Y225" i="3"/>
  <c r="V225" i="3"/>
  <c r="U225" i="3"/>
  <c r="T225" i="3"/>
  <c r="S225" i="3"/>
  <c r="B225" i="3"/>
  <c r="AS224" i="3"/>
  <c r="AH224" i="3"/>
  <c r="AA224" i="3"/>
  <c r="Y224" i="3"/>
  <c r="V224" i="3"/>
  <c r="U224" i="3"/>
  <c r="T224" i="3"/>
  <c r="S224" i="3"/>
  <c r="R224" i="3"/>
  <c r="Q224" i="3"/>
  <c r="L224" i="3"/>
  <c r="K224" i="3"/>
  <c r="J224" i="3"/>
  <c r="I224" i="3"/>
  <c r="AS223" i="3"/>
  <c r="AR223" i="3"/>
  <c r="AH223" i="3"/>
  <c r="AA223" i="3"/>
  <c r="Y223" i="3"/>
  <c r="V223" i="3"/>
  <c r="U223" i="3"/>
  <c r="T223" i="3"/>
  <c r="S223" i="3"/>
  <c r="B223" i="3"/>
  <c r="AS222" i="3"/>
  <c r="AR222" i="3"/>
  <c r="AH222" i="3"/>
  <c r="AA222" i="3"/>
  <c r="Y222" i="3"/>
  <c r="V222" i="3"/>
  <c r="U222" i="3"/>
  <c r="T222" i="3"/>
  <c r="S222" i="3"/>
  <c r="B222" i="3"/>
  <c r="AS221" i="3"/>
  <c r="AR221" i="3"/>
  <c r="AH221" i="3"/>
  <c r="AA221" i="3"/>
  <c r="Y221" i="3"/>
  <c r="V221" i="3"/>
  <c r="U221" i="3"/>
  <c r="T221" i="3"/>
  <c r="S221" i="3"/>
  <c r="B221" i="3"/>
  <c r="AS220" i="3"/>
  <c r="AR220" i="3"/>
  <c r="AH220" i="3"/>
  <c r="AA220" i="3"/>
  <c r="Y220" i="3"/>
  <c r="V220" i="3"/>
  <c r="U220" i="3"/>
  <c r="T220" i="3"/>
  <c r="S220" i="3"/>
  <c r="B220" i="3"/>
  <c r="AS219" i="3"/>
  <c r="AR219" i="3"/>
  <c r="AH219" i="3"/>
  <c r="AA219" i="3"/>
  <c r="Y219" i="3"/>
  <c r="V219" i="3"/>
  <c r="U219" i="3"/>
  <c r="T219" i="3"/>
  <c r="S219" i="3"/>
  <c r="B219" i="3"/>
  <c r="AS218" i="3"/>
  <c r="AR218" i="3"/>
  <c r="AH218" i="3"/>
  <c r="AA218" i="3"/>
  <c r="Y218" i="3"/>
  <c r="V218" i="3"/>
  <c r="U218" i="3"/>
  <c r="T218" i="3"/>
  <c r="S218" i="3"/>
  <c r="B218" i="3"/>
  <c r="AS217" i="3"/>
  <c r="AR217" i="3"/>
  <c r="AH217" i="3"/>
  <c r="AA217" i="3"/>
  <c r="Y217" i="3"/>
  <c r="V217" i="3"/>
  <c r="U217" i="3"/>
  <c r="T217" i="3"/>
  <c r="S217" i="3"/>
  <c r="B217" i="3"/>
  <c r="AS216" i="3"/>
  <c r="AR216" i="3"/>
  <c r="AH216" i="3"/>
  <c r="AA216" i="3"/>
  <c r="Y216" i="3"/>
  <c r="V216" i="3"/>
  <c r="U216" i="3"/>
  <c r="T216" i="3"/>
  <c r="S216" i="3"/>
  <c r="B216" i="3"/>
  <c r="AS215" i="3"/>
  <c r="AR215" i="3"/>
  <c r="AH215" i="3"/>
  <c r="AA215" i="3"/>
  <c r="Y215" i="3"/>
  <c r="V215" i="3"/>
  <c r="U215" i="3"/>
  <c r="T215" i="3"/>
  <c r="S215" i="3"/>
  <c r="B215" i="3"/>
  <c r="AS214" i="3"/>
  <c r="AH214" i="3"/>
  <c r="AA214" i="3"/>
  <c r="Y214" i="3"/>
  <c r="V214" i="3"/>
  <c r="U214" i="3"/>
  <c r="T214" i="3"/>
  <c r="S214" i="3"/>
  <c r="B214" i="3"/>
  <c r="AS213" i="3"/>
  <c r="AR213" i="3"/>
  <c r="AH213" i="3"/>
  <c r="AA213" i="3"/>
  <c r="Y213" i="3"/>
  <c r="V213" i="3"/>
  <c r="U213" i="3"/>
  <c r="T213" i="3"/>
  <c r="S213" i="3"/>
  <c r="B213" i="3"/>
  <c r="AS212" i="3"/>
  <c r="AH212" i="3"/>
  <c r="AG212" i="3"/>
  <c r="AA212" i="3"/>
  <c r="Y212" i="3"/>
  <c r="V212" i="3"/>
  <c r="U212" i="3"/>
  <c r="T212" i="3"/>
  <c r="S212" i="3"/>
  <c r="B212" i="3"/>
  <c r="AS211" i="3"/>
  <c r="AH211" i="3"/>
  <c r="AG211" i="3"/>
  <c r="AA211" i="3"/>
  <c r="Y211" i="3"/>
  <c r="V211" i="3"/>
  <c r="U211" i="3"/>
  <c r="T211" i="3"/>
  <c r="S211" i="3"/>
  <c r="B211" i="3"/>
  <c r="AS210" i="3"/>
  <c r="AR210" i="3"/>
  <c r="AH210" i="3"/>
  <c r="AA210" i="3"/>
  <c r="Y210" i="3"/>
  <c r="V210" i="3"/>
  <c r="U210" i="3"/>
  <c r="T210" i="3"/>
  <c r="S210" i="3"/>
  <c r="B210" i="3"/>
  <c r="AS209" i="3"/>
  <c r="AH209" i="3"/>
  <c r="AG209" i="3"/>
  <c r="AA209" i="3"/>
  <c r="Y209" i="3"/>
  <c r="V209" i="3"/>
  <c r="U209" i="3"/>
  <c r="T209" i="3"/>
  <c r="S209" i="3"/>
  <c r="B209" i="3"/>
  <c r="AS208" i="3"/>
  <c r="AH208" i="3"/>
  <c r="AA208" i="3"/>
  <c r="Y208" i="3"/>
  <c r="V208" i="3"/>
  <c r="U208" i="3"/>
  <c r="T208" i="3"/>
  <c r="S208" i="3"/>
  <c r="B208" i="3"/>
  <c r="AS207" i="3"/>
  <c r="AH207" i="3"/>
  <c r="AG207" i="3"/>
  <c r="AA207" i="3"/>
  <c r="Y207" i="3"/>
  <c r="V207" i="3"/>
  <c r="U207" i="3"/>
  <c r="T207" i="3"/>
  <c r="S207" i="3"/>
  <c r="B207" i="3"/>
  <c r="AS206" i="3"/>
  <c r="AH206" i="3"/>
  <c r="AA206" i="3"/>
  <c r="Y206" i="3"/>
  <c r="V206" i="3"/>
  <c r="T206" i="3"/>
  <c r="S206" i="3"/>
  <c r="B206" i="3"/>
  <c r="AS205" i="3"/>
  <c r="AH205" i="3"/>
  <c r="AA205" i="3"/>
  <c r="Y205" i="3"/>
  <c r="V205" i="3"/>
  <c r="U205" i="3"/>
  <c r="T205" i="3"/>
  <c r="S205" i="3"/>
  <c r="B205" i="3"/>
  <c r="AS204" i="3"/>
  <c r="AH204" i="3"/>
  <c r="AA204" i="3"/>
  <c r="Y204" i="3"/>
  <c r="V204" i="3"/>
  <c r="T204" i="3"/>
  <c r="S204" i="3"/>
  <c r="B204" i="3"/>
  <c r="AS203" i="3"/>
  <c r="AH203" i="3"/>
  <c r="AG203" i="3"/>
  <c r="AA203" i="3"/>
  <c r="Y203" i="3"/>
  <c r="V203" i="3"/>
  <c r="U203" i="3"/>
  <c r="T203" i="3"/>
  <c r="S203" i="3"/>
  <c r="B203" i="3"/>
  <c r="AS202" i="3"/>
  <c r="AH202" i="3"/>
  <c r="AA202" i="3"/>
  <c r="Y202" i="3"/>
  <c r="V202" i="3"/>
  <c r="U202" i="3"/>
  <c r="T202" i="3"/>
  <c r="S202" i="3"/>
  <c r="B202" i="3"/>
  <c r="AS201" i="3"/>
  <c r="AH201" i="3"/>
  <c r="AA201" i="3"/>
  <c r="Y201" i="3"/>
  <c r="V201" i="3"/>
  <c r="U201" i="3"/>
  <c r="T201" i="3"/>
  <c r="S201" i="3"/>
  <c r="B201" i="3"/>
  <c r="AS200" i="3"/>
  <c r="AH200" i="3"/>
  <c r="AA200" i="3"/>
  <c r="Y200" i="3"/>
  <c r="V200" i="3"/>
  <c r="U200" i="3"/>
  <c r="T200" i="3"/>
  <c r="S200" i="3"/>
  <c r="B200" i="3"/>
  <c r="AS199" i="3"/>
  <c r="AH199" i="3"/>
  <c r="AA199" i="3"/>
  <c r="Y199" i="3"/>
  <c r="V199" i="3"/>
  <c r="U199" i="3"/>
  <c r="T199" i="3"/>
  <c r="S199" i="3"/>
  <c r="B199" i="3"/>
  <c r="AS198" i="3"/>
  <c r="AH198" i="3"/>
  <c r="AA198" i="3"/>
  <c r="Y198" i="3"/>
  <c r="V198" i="3"/>
  <c r="T198" i="3"/>
  <c r="S198" i="3"/>
  <c r="B198" i="3"/>
  <c r="AS197" i="3"/>
  <c r="AR197" i="3"/>
  <c r="AH197" i="3"/>
  <c r="AA197" i="3"/>
  <c r="Y197" i="3"/>
  <c r="V197" i="3"/>
  <c r="U197" i="3"/>
  <c r="T197" i="3"/>
  <c r="S197" i="3"/>
  <c r="B197" i="3"/>
  <c r="AS196" i="3"/>
  <c r="AR196" i="3"/>
  <c r="AH196" i="3"/>
  <c r="AA196" i="3"/>
  <c r="Y196" i="3"/>
  <c r="V196" i="3"/>
  <c r="U196" i="3"/>
  <c r="T196" i="3"/>
  <c r="S196" i="3"/>
  <c r="B196" i="3"/>
  <c r="AS195" i="3"/>
  <c r="AR195" i="3"/>
  <c r="AH195" i="3"/>
  <c r="AA195" i="3"/>
  <c r="Y195" i="3"/>
  <c r="V195" i="3"/>
  <c r="U195" i="3"/>
  <c r="T195" i="3"/>
  <c r="S195" i="3"/>
  <c r="B195" i="3"/>
  <c r="AS194" i="3"/>
  <c r="AR194" i="3"/>
  <c r="AH194" i="3"/>
  <c r="AA194" i="3"/>
  <c r="Y194" i="3"/>
  <c r="V194" i="3"/>
  <c r="U194" i="3"/>
  <c r="T194" i="3"/>
  <c r="S194" i="3"/>
  <c r="B194" i="3"/>
  <c r="AS193" i="3"/>
  <c r="AH193" i="3"/>
  <c r="AA193" i="3"/>
  <c r="Y193" i="3"/>
  <c r="V193" i="3"/>
  <c r="U193" i="3"/>
  <c r="T193" i="3"/>
  <c r="S193" i="3"/>
  <c r="B193" i="3"/>
  <c r="AS192" i="3"/>
  <c r="AH192" i="3"/>
  <c r="AA192" i="3"/>
  <c r="Y192" i="3"/>
  <c r="V192" i="3"/>
  <c r="U192" i="3"/>
  <c r="T192" i="3"/>
  <c r="S192" i="3"/>
  <c r="B192" i="3"/>
  <c r="AS191" i="3"/>
  <c r="AH191" i="3"/>
  <c r="AG191" i="3"/>
  <c r="AA191" i="3"/>
  <c r="Y191" i="3"/>
  <c r="V191" i="3"/>
  <c r="U191" i="3"/>
  <c r="T191" i="3"/>
  <c r="S191" i="3"/>
  <c r="B191" i="3"/>
  <c r="AS190" i="3"/>
  <c r="AH190" i="3"/>
  <c r="AA190" i="3"/>
  <c r="Y190" i="3"/>
  <c r="V190" i="3"/>
  <c r="U190" i="3"/>
  <c r="T190" i="3"/>
  <c r="S190" i="3"/>
  <c r="R190" i="3"/>
  <c r="Q190" i="3"/>
  <c r="L190" i="3"/>
  <c r="K190" i="3"/>
  <c r="J190" i="3"/>
  <c r="I190" i="3"/>
  <c r="AS189" i="3"/>
  <c r="AH189" i="3"/>
  <c r="AA189" i="3"/>
  <c r="Y189" i="3"/>
  <c r="V189" i="3"/>
  <c r="U189" i="3"/>
  <c r="T189" i="3"/>
  <c r="S189" i="3"/>
  <c r="K189" i="3"/>
  <c r="B189" i="3"/>
  <c r="AS188" i="3"/>
  <c r="AH188" i="3"/>
  <c r="AA188" i="3"/>
  <c r="Y188" i="3"/>
  <c r="V188" i="3"/>
  <c r="U188" i="3"/>
  <c r="T188" i="3"/>
  <c r="S188" i="3"/>
  <c r="B188" i="3"/>
  <c r="AS187" i="3"/>
  <c r="AH187" i="3"/>
  <c r="AA187" i="3"/>
  <c r="Y187" i="3"/>
  <c r="V187" i="3"/>
  <c r="U187" i="3"/>
  <c r="T187" i="3"/>
  <c r="S187" i="3"/>
  <c r="B187" i="3"/>
  <c r="AS186" i="3"/>
  <c r="AH186" i="3"/>
  <c r="AA186" i="3"/>
  <c r="Y186" i="3"/>
  <c r="V186" i="3"/>
  <c r="U186" i="3"/>
  <c r="T186" i="3"/>
  <c r="S186" i="3"/>
  <c r="B186" i="3"/>
  <c r="AS185" i="3"/>
  <c r="AH185" i="3"/>
  <c r="AA185" i="3"/>
  <c r="Y185" i="3"/>
  <c r="V185" i="3"/>
  <c r="U185" i="3"/>
  <c r="T185" i="3"/>
  <c r="S185" i="3"/>
  <c r="B185" i="3"/>
  <c r="AS184" i="3"/>
  <c r="AH184" i="3"/>
  <c r="AA184" i="3"/>
  <c r="Y184" i="3"/>
  <c r="V184" i="3"/>
  <c r="U184" i="3"/>
  <c r="T184" i="3"/>
  <c r="S184" i="3"/>
  <c r="B184" i="3"/>
  <c r="AS183" i="3"/>
  <c r="AH183" i="3"/>
  <c r="AA183" i="3"/>
  <c r="Y183" i="3"/>
  <c r="V183" i="3"/>
  <c r="U183" i="3"/>
  <c r="T183" i="3"/>
  <c r="S183" i="3"/>
  <c r="B183" i="3"/>
  <c r="AS182" i="3"/>
  <c r="AH182" i="3"/>
  <c r="AA182" i="3"/>
  <c r="Y182" i="3"/>
  <c r="V182" i="3"/>
  <c r="U182" i="3"/>
  <c r="T182" i="3"/>
  <c r="S182" i="3"/>
  <c r="B182" i="3"/>
  <c r="AS181" i="3"/>
  <c r="AH181" i="3"/>
  <c r="AG181" i="3"/>
  <c r="AA181" i="3"/>
  <c r="Y181" i="3"/>
  <c r="V181" i="3"/>
  <c r="U181" i="3"/>
  <c r="T181" i="3"/>
  <c r="S181" i="3"/>
  <c r="B181" i="3"/>
  <c r="AS180" i="3"/>
  <c r="AH180" i="3"/>
  <c r="AA180" i="3"/>
  <c r="Y180" i="3"/>
  <c r="V180" i="3"/>
  <c r="T180" i="3"/>
  <c r="S180" i="3"/>
  <c r="B180" i="3"/>
  <c r="AS179" i="3"/>
  <c r="AR179" i="3"/>
  <c r="AH179" i="3"/>
  <c r="AA179" i="3"/>
  <c r="Y179" i="3"/>
  <c r="V179" i="3"/>
  <c r="U179" i="3"/>
  <c r="T179" i="3"/>
  <c r="S179" i="3"/>
  <c r="B179" i="3"/>
  <c r="AS178" i="3"/>
  <c r="AR178" i="3"/>
  <c r="AH178" i="3"/>
  <c r="AA178" i="3"/>
  <c r="Y178" i="3"/>
  <c r="V178" i="3"/>
  <c r="U178" i="3"/>
  <c r="T178" i="3"/>
  <c r="S178" i="3"/>
  <c r="B178" i="3"/>
  <c r="AS177" i="3"/>
  <c r="AR177" i="3"/>
  <c r="AH177" i="3"/>
  <c r="AA177" i="3"/>
  <c r="Y177" i="3"/>
  <c r="V177" i="3"/>
  <c r="U177" i="3"/>
  <c r="T177" i="3"/>
  <c r="S177" i="3"/>
  <c r="B177" i="3"/>
  <c r="AS176" i="3"/>
  <c r="AH176" i="3"/>
  <c r="AA176" i="3"/>
  <c r="Y176" i="3"/>
  <c r="V176" i="3"/>
  <c r="U176" i="3"/>
  <c r="T176" i="3"/>
  <c r="S176" i="3"/>
  <c r="B176" i="3"/>
  <c r="AS175" i="3"/>
  <c r="AH175" i="3"/>
  <c r="AA175" i="3"/>
  <c r="Y175" i="3"/>
  <c r="V175" i="3"/>
  <c r="T175" i="3"/>
  <c r="S175" i="3"/>
  <c r="B175" i="3"/>
  <c r="AS174" i="3"/>
  <c r="AH174" i="3"/>
  <c r="AA174" i="3"/>
  <c r="Y174" i="3"/>
  <c r="V174" i="3"/>
  <c r="U174" i="3"/>
  <c r="T174" i="3"/>
  <c r="S174" i="3"/>
  <c r="B174" i="3"/>
  <c r="AS173" i="3"/>
  <c r="AH173" i="3"/>
  <c r="AA173" i="3"/>
  <c r="Y173" i="3"/>
  <c r="V173" i="3"/>
  <c r="T173" i="3"/>
  <c r="S173" i="3"/>
  <c r="B173" i="3"/>
  <c r="AS172" i="3"/>
  <c r="AR172" i="3"/>
  <c r="AH172" i="3"/>
  <c r="AA172" i="3"/>
  <c r="Y172" i="3"/>
  <c r="V172" i="3"/>
  <c r="U172" i="3"/>
  <c r="T172" i="3"/>
  <c r="S172" i="3"/>
  <c r="B172" i="3"/>
  <c r="AS171" i="3"/>
  <c r="AH171" i="3"/>
  <c r="AA171" i="3"/>
  <c r="Y171" i="3"/>
  <c r="V171" i="3"/>
  <c r="T171" i="3"/>
  <c r="S171" i="3"/>
  <c r="B171" i="3"/>
  <c r="AS170" i="3"/>
  <c r="AH170" i="3"/>
  <c r="AA170" i="3"/>
  <c r="Y170" i="3"/>
  <c r="V170" i="3"/>
  <c r="U170" i="3"/>
  <c r="T170" i="3"/>
  <c r="S170" i="3"/>
  <c r="B170" i="3"/>
  <c r="AS169" i="3"/>
  <c r="AR169" i="3"/>
  <c r="AH169" i="3"/>
  <c r="AA169" i="3"/>
  <c r="Y169" i="3"/>
  <c r="V169" i="3"/>
  <c r="U169" i="3"/>
  <c r="T169" i="3"/>
  <c r="S169" i="3"/>
  <c r="B169" i="3"/>
  <c r="AS168" i="3"/>
  <c r="AH168" i="3"/>
  <c r="AG168" i="3"/>
  <c r="AA168" i="3"/>
  <c r="Y168" i="3"/>
  <c r="V168" i="3"/>
  <c r="U168" i="3"/>
  <c r="T168" i="3"/>
  <c r="S168" i="3"/>
  <c r="B168" i="3"/>
  <c r="AS167" i="3"/>
  <c r="AH167" i="3"/>
  <c r="AA167" i="3"/>
  <c r="Y167" i="3"/>
  <c r="V167" i="3"/>
  <c r="U167" i="3"/>
  <c r="T167" i="3"/>
  <c r="S167" i="3"/>
  <c r="B167" i="3"/>
  <c r="AS166" i="3"/>
  <c r="AH166" i="3"/>
  <c r="AA166" i="3"/>
  <c r="Y166" i="3"/>
  <c r="V166" i="3"/>
  <c r="T166" i="3"/>
  <c r="S166" i="3"/>
  <c r="B166" i="3"/>
  <c r="AS165" i="3"/>
  <c r="AH165" i="3"/>
  <c r="AA165" i="3"/>
  <c r="Y165" i="3"/>
  <c r="V165" i="3"/>
  <c r="U165" i="3"/>
  <c r="T165" i="3"/>
  <c r="S165" i="3"/>
  <c r="B165" i="3"/>
  <c r="AS164" i="3"/>
  <c r="AH164" i="3"/>
  <c r="AA164" i="3"/>
  <c r="Y164" i="3"/>
  <c r="V164" i="3"/>
  <c r="U164" i="3"/>
  <c r="T164" i="3"/>
  <c r="S164" i="3"/>
  <c r="B164" i="3"/>
  <c r="AS163" i="3"/>
  <c r="AH163" i="3"/>
  <c r="AA163" i="3"/>
  <c r="Y163" i="3"/>
  <c r="V163" i="3"/>
  <c r="U163" i="3"/>
  <c r="T163" i="3"/>
  <c r="S163" i="3"/>
  <c r="B163" i="3"/>
  <c r="AS162" i="3"/>
  <c r="AH162" i="3"/>
  <c r="AA162" i="3"/>
  <c r="Y162" i="3"/>
  <c r="V162" i="3"/>
  <c r="T162" i="3"/>
  <c r="S162" i="3"/>
  <c r="B162" i="3"/>
  <c r="AS161" i="3"/>
  <c r="AH161" i="3"/>
  <c r="AA161" i="3"/>
  <c r="Y161" i="3"/>
  <c r="V161" i="3"/>
  <c r="U161" i="3"/>
  <c r="T161" i="3"/>
  <c r="S161" i="3"/>
  <c r="B161" i="3"/>
  <c r="AS160" i="3"/>
  <c r="AH160" i="3"/>
  <c r="AA160" i="3"/>
  <c r="Y160" i="3"/>
  <c r="V160" i="3"/>
  <c r="U160" i="3"/>
  <c r="T160" i="3"/>
  <c r="S160" i="3"/>
  <c r="B160" i="3"/>
  <c r="AS159" i="3"/>
  <c r="AH159" i="3"/>
  <c r="AA159" i="3"/>
  <c r="Y159" i="3"/>
  <c r="V159" i="3"/>
  <c r="U159" i="3"/>
  <c r="T159" i="3"/>
  <c r="S159" i="3"/>
  <c r="B159" i="3"/>
  <c r="AS158" i="3"/>
  <c r="AH158" i="3"/>
  <c r="AA158" i="3"/>
  <c r="Y158" i="3"/>
  <c r="V158" i="3"/>
  <c r="U158" i="3"/>
  <c r="T158" i="3"/>
  <c r="S158" i="3"/>
  <c r="B158" i="3"/>
  <c r="AS157" i="3"/>
  <c r="AR157" i="3"/>
  <c r="AH157" i="3"/>
  <c r="AA157" i="3"/>
  <c r="Y157" i="3"/>
  <c r="V157" i="3"/>
  <c r="U157" i="3"/>
  <c r="T157" i="3"/>
  <c r="S157" i="3"/>
  <c r="B157" i="3"/>
  <c r="AS156" i="3"/>
  <c r="AH156" i="3"/>
  <c r="AA156" i="3"/>
  <c r="Y156" i="3"/>
  <c r="V156" i="3"/>
  <c r="U156" i="3"/>
  <c r="T156" i="3"/>
  <c r="S156" i="3"/>
  <c r="B156" i="3"/>
  <c r="AS155" i="3"/>
  <c r="AR155" i="3"/>
  <c r="AH155" i="3"/>
  <c r="AA155" i="3"/>
  <c r="Y155" i="3"/>
  <c r="V155" i="3"/>
  <c r="U155" i="3"/>
  <c r="T155" i="3"/>
  <c r="S155" i="3"/>
  <c r="B155" i="3"/>
  <c r="AS154" i="3"/>
  <c r="AH154" i="3"/>
  <c r="AA154" i="3"/>
  <c r="Y154" i="3"/>
  <c r="V154" i="3"/>
  <c r="U154" i="3"/>
  <c r="T154" i="3"/>
  <c r="S154" i="3"/>
  <c r="B154" i="3"/>
  <c r="AS153" i="3"/>
  <c r="AH153" i="3"/>
  <c r="AA153" i="3"/>
  <c r="Y153" i="3"/>
  <c r="V153" i="3"/>
  <c r="U153" i="3"/>
  <c r="T153" i="3"/>
  <c r="S153" i="3"/>
  <c r="B153" i="3"/>
  <c r="AS152" i="3"/>
  <c r="AH152" i="3"/>
  <c r="AA152" i="3"/>
  <c r="Y152" i="3"/>
  <c r="V152" i="3"/>
  <c r="U152" i="3"/>
  <c r="T152" i="3"/>
  <c r="S152" i="3"/>
  <c r="B152" i="3"/>
  <c r="AS151" i="3"/>
  <c r="AH151" i="3"/>
  <c r="AA151" i="3"/>
  <c r="Y151" i="3"/>
  <c r="V151" i="3"/>
  <c r="T151" i="3"/>
  <c r="S151" i="3"/>
  <c r="B151" i="3"/>
  <c r="AS150" i="3"/>
  <c r="AH150" i="3"/>
  <c r="AA150" i="3"/>
  <c r="Y150" i="3"/>
  <c r="V150" i="3"/>
  <c r="U150" i="3"/>
  <c r="T150" i="3"/>
  <c r="S150" i="3"/>
  <c r="B150" i="3"/>
  <c r="AS149" i="3"/>
  <c r="AH149" i="3"/>
  <c r="AA149" i="3"/>
  <c r="Y149" i="3"/>
  <c r="V149" i="3"/>
  <c r="U149" i="3"/>
  <c r="T149" i="3"/>
  <c r="S149" i="3"/>
  <c r="R149" i="3"/>
  <c r="Q149" i="3"/>
  <c r="L149" i="3"/>
  <c r="K149" i="3"/>
  <c r="J149" i="3"/>
  <c r="I149" i="3"/>
  <c r="AS148" i="3"/>
  <c r="AH148" i="3"/>
  <c r="AG148" i="3"/>
  <c r="AA148" i="3"/>
  <c r="Y148" i="3"/>
  <c r="V148" i="3"/>
  <c r="U148" i="3"/>
  <c r="T148" i="3"/>
  <c r="S148" i="3"/>
  <c r="B148" i="3"/>
  <c r="AS147" i="3"/>
  <c r="AH147" i="3"/>
  <c r="AG147" i="3"/>
  <c r="AA147" i="3"/>
  <c r="Y147" i="3"/>
  <c r="V147" i="3"/>
  <c r="U147" i="3"/>
  <c r="T147" i="3"/>
  <c r="S147" i="3"/>
  <c r="B147" i="3"/>
  <c r="AS146" i="3"/>
  <c r="AH146" i="3"/>
  <c r="AA146" i="3"/>
  <c r="Y146" i="3"/>
  <c r="V146" i="3"/>
  <c r="U146" i="3"/>
  <c r="T146" i="3"/>
  <c r="S146" i="3"/>
  <c r="B146" i="3"/>
  <c r="AS145" i="3"/>
  <c r="AH145" i="3"/>
  <c r="AA145" i="3"/>
  <c r="Y145" i="3"/>
  <c r="V145" i="3"/>
  <c r="U145" i="3"/>
  <c r="T145" i="3"/>
  <c r="S145" i="3"/>
  <c r="B145" i="3"/>
  <c r="AS144" i="3"/>
  <c r="AH144" i="3"/>
  <c r="AA144" i="3"/>
  <c r="Y144" i="3"/>
  <c r="V144" i="3"/>
  <c r="U144" i="3"/>
  <c r="T144" i="3"/>
  <c r="S144" i="3"/>
  <c r="B144" i="3"/>
  <c r="AS143" i="3"/>
  <c r="AH143" i="3"/>
  <c r="AA143" i="3"/>
  <c r="Y143" i="3"/>
  <c r="V143" i="3"/>
  <c r="T143" i="3"/>
  <c r="S143" i="3"/>
  <c r="B143" i="3"/>
  <c r="AS142" i="3"/>
  <c r="AH142" i="3"/>
  <c r="AA142" i="3"/>
  <c r="Y142" i="3"/>
  <c r="V142" i="3"/>
  <c r="T142" i="3"/>
  <c r="S142" i="3"/>
  <c r="B142" i="3"/>
  <c r="AS141" i="3"/>
  <c r="AH141" i="3"/>
  <c r="AA141" i="3"/>
  <c r="Y141" i="3"/>
  <c r="V141" i="3"/>
  <c r="T141" i="3"/>
  <c r="S141" i="3"/>
  <c r="B141" i="3"/>
  <c r="AS140" i="3"/>
  <c r="AR140" i="3"/>
  <c r="AH140" i="3"/>
  <c r="AA140" i="3"/>
  <c r="Y140" i="3"/>
  <c r="V140" i="3"/>
  <c r="U140" i="3"/>
  <c r="T140" i="3"/>
  <c r="S140" i="3"/>
  <c r="B140" i="3"/>
  <c r="AS139" i="3"/>
  <c r="AH139" i="3"/>
  <c r="AG139" i="3"/>
  <c r="AA139" i="3"/>
  <c r="Y139" i="3"/>
  <c r="V139" i="3"/>
  <c r="U139" i="3"/>
  <c r="T139" i="3"/>
  <c r="S139" i="3"/>
  <c r="B139" i="3"/>
  <c r="AS138" i="3"/>
  <c r="AH138" i="3"/>
  <c r="AG138" i="3"/>
  <c r="AA138" i="3"/>
  <c r="Y138" i="3"/>
  <c r="V138" i="3"/>
  <c r="U138" i="3"/>
  <c r="T138" i="3"/>
  <c r="S138" i="3"/>
  <c r="B138" i="3"/>
  <c r="AS137" i="3"/>
  <c r="AH137" i="3"/>
  <c r="AG137" i="3"/>
  <c r="AA137" i="3"/>
  <c r="Y137" i="3"/>
  <c r="V137" i="3"/>
  <c r="U137" i="3"/>
  <c r="T137" i="3"/>
  <c r="S137" i="3"/>
  <c r="B137" i="3"/>
  <c r="AS136" i="3"/>
  <c r="AH136" i="3"/>
  <c r="AA136" i="3"/>
  <c r="Y136" i="3"/>
  <c r="V136" i="3"/>
  <c r="T136" i="3"/>
  <c r="S136" i="3"/>
  <c r="B136" i="3"/>
  <c r="AS135" i="3"/>
  <c r="AH135" i="3"/>
  <c r="AG135" i="3"/>
  <c r="AA135" i="3"/>
  <c r="Y135" i="3"/>
  <c r="V135" i="3"/>
  <c r="U135" i="3"/>
  <c r="T135" i="3"/>
  <c r="S135" i="3"/>
  <c r="B135" i="3"/>
  <c r="AS134" i="3"/>
  <c r="AH134" i="3"/>
  <c r="AA134" i="3"/>
  <c r="Y134" i="3"/>
  <c r="V134" i="3"/>
  <c r="U134" i="3"/>
  <c r="T134" i="3"/>
  <c r="S134" i="3"/>
  <c r="B134" i="3"/>
  <c r="AS133" i="3"/>
  <c r="AH133" i="3"/>
  <c r="AG133" i="3"/>
  <c r="AA133" i="3"/>
  <c r="Y133" i="3"/>
  <c r="V133" i="3"/>
  <c r="U133" i="3"/>
  <c r="T133" i="3"/>
  <c r="S133" i="3"/>
  <c r="B133" i="3"/>
  <c r="AS132" i="3"/>
  <c r="AH132" i="3"/>
  <c r="AG132" i="3"/>
  <c r="AA132" i="3"/>
  <c r="Y132" i="3"/>
  <c r="V132" i="3"/>
  <c r="U132" i="3"/>
  <c r="T132" i="3"/>
  <c r="S132" i="3"/>
  <c r="B132" i="3"/>
  <c r="AS131" i="3"/>
  <c r="AH131" i="3"/>
  <c r="AA131" i="3"/>
  <c r="Y131" i="3"/>
  <c r="V131" i="3"/>
  <c r="T131" i="3"/>
  <c r="S131" i="3"/>
  <c r="B131" i="3"/>
  <c r="AS130" i="3"/>
  <c r="AH130" i="3"/>
  <c r="AA130" i="3"/>
  <c r="Y130" i="3"/>
  <c r="V130" i="3"/>
  <c r="T130" i="3"/>
  <c r="S130" i="3"/>
  <c r="B130" i="3"/>
  <c r="AS129" i="3"/>
  <c r="AH129" i="3"/>
  <c r="AG129" i="3"/>
  <c r="AA129" i="3"/>
  <c r="Y129" i="3"/>
  <c r="V129" i="3"/>
  <c r="U129" i="3"/>
  <c r="T129" i="3"/>
  <c r="S129" i="3"/>
  <c r="B129" i="3"/>
  <c r="AS128" i="3"/>
  <c r="AH128" i="3"/>
  <c r="AA128" i="3"/>
  <c r="Y128" i="3"/>
  <c r="V128" i="3"/>
  <c r="U128" i="3"/>
  <c r="T128" i="3"/>
  <c r="S128" i="3"/>
  <c r="B128" i="3"/>
  <c r="AS127" i="3"/>
  <c r="AH127" i="3"/>
  <c r="AA127" i="3"/>
  <c r="Y127" i="3"/>
  <c r="V127" i="3"/>
  <c r="U127" i="3"/>
  <c r="T127" i="3"/>
  <c r="S127" i="3"/>
  <c r="B127" i="3"/>
  <c r="AS126" i="3"/>
  <c r="AH126" i="3"/>
  <c r="AA126" i="3"/>
  <c r="Y126" i="3"/>
  <c r="V126" i="3"/>
  <c r="U126" i="3"/>
  <c r="T126" i="3"/>
  <c r="S126" i="3"/>
  <c r="B126" i="3"/>
  <c r="AS125" i="3"/>
  <c r="AH125" i="3"/>
  <c r="AA125" i="3"/>
  <c r="Y125" i="3"/>
  <c r="V125" i="3"/>
  <c r="U125" i="3"/>
  <c r="T125" i="3"/>
  <c r="S125" i="3"/>
  <c r="B125" i="3"/>
  <c r="AS124" i="3"/>
  <c r="AH124" i="3"/>
  <c r="AA124" i="3"/>
  <c r="Y124" i="3"/>
  <c r="V124" i="3"/>
  <c r="U124" i="3"/>
  <c r="T124" i="3"/>
  <c r="S124" i="3"/>
  <c r="B124" i="3"/>
  <c r="AS123" i="3"/>
  <c r="AH123" i="3"/>
  <c r="AA123" i="3"/>
  <c r="Y123" i="3"/>
  <c r="V123" i="3"/>
  <c r="U123" i="3"/>
  <c r="T123" i="3"/>
  <c r="S123" i="3"/>
  <c r="B123" i="3"/>
  <c r="AS122" i="3"/>
  <c r="AH122" i="3"/>
  <c r="AA122" i="3"/>
  <c r="Y122" i="3"/>
  <c r="V122" i="3"/>
  <c r="U122" i="3"/>
  <c r="T122" i="3"/>
  <c r="S122" i="3"/>
  <c r="B122" i="3"/>
  <c r="AS121" i="3"/>
  <c r="AH121" i="3"/>
  <c r="AA121" i="3"/>
  <c r="Y121" i="3"/>
  <c r="V121" i="3"/>
  <c r="U121" i="3"/>
  <c r="T121" i="3"/>
  <c r="S121" i="3"/>
  <c r="B121" i="3"/>
  <c r="AS120" i="3"/>
  <c r="AH120" i="3"/>
  <c r="AA120" i="3"/>
  <c r="Y120" i="3"/>
  <c r="V120" i="3"/>
  <c r="U120" i="3"/>
  <c r="T120" i="3"/>
  <c r="S120" i="3"/>
  <c r="B120" i="3"/>
  <c r="AS119" i="3"/>
  <c r="AH119" i="3"/>
  <c r="AA119" i="3"/>
  <c r="Y119" i="3"/>
  <c r="V119" i="3"/>
  <c r="U119" i="3"/>
  <c r="T119" i="3"/>
  <c r="S119" i="3"/>
  <c r="B119" i="3"/>
  <c r="AS118" i="3"/>
  <c r="AH118" i="3"/>
  <c r="AA118" i="3"/>
  <c r="Y118" i="3"/>
  <c r="V118" i="3"/>
  <c r="U118" i="3"/>
  <c r="T118" i="3"/>
  <c r="S118" i="3"/>
  <c r="B118" i="3"/>
  <c r="AS117" i="3"/>
  <c r="AH117" i="3"/>
  <c r="AA117" i="3"/>
  <c r="Y117" i="3"/>
  <c r="V117" i="3"/>
  <c r="U117" i="3"/>
  <c r="T117" i="3"/>
  <c r="S117" i="3"/>
  <c r="B117" i="3"/>
  <c r="AS116" i="3"/>
  <c r="AH116" i="3"/>
  <c r="AA116" i="3"/>
  <c r="Y116" i="3"/>
  <c r="V116" i="3"/>
  <c r="U116" i="3"/>
  <c r="T116" i="3"/>
  <c r="S116" i="3"/>
  <c r="R116" i="3"/>
  <c r="Q116" i="3"/>
  <c r="L116" i="3"/>
  <c r="K116" i="3"/>
  <c r="J116" i="3"/>
  <c r="I116" i="3"/>
  <c r="AS115" i="3"/>
  <c r="AH115" i="3"/>
  <c r="AA115" i="3"/>
  <c r="Y115" i="3"/>
  <c r="V115" i="3"/>
  <c r="U115" i="3"/>
  <c r="T115" i="3"/>
  <c r="S115" i="3"/>
  <c r="B115" i="3"/>
  <c r="AS114" i="3"/>
  <c r="AR114" i="3"/>
  <c r="AH114" i="3"/>
  <c r="AA114" i="3"/>
  <c r="Y114" i="3"/>
  <c r="V114" i="3"/>
  <c r="U114" i="3"/>
  <c r="T114" i="3"/>
  <c r="S114" i="3"/>
  <c r="B114" i="3"/>
  <c r="AS113" i="3"/>
  <c r="AH113" i="3"/>
  <c r="AA113" i="3"/>
  <c r="Y113" i="3"/>
  <c r="V113" i="3"/>
  <c r="U113" i="3"/>
  <c r="T113" i="3"/>
  <c r="S113" i="3"/>
  <c r="B113" i="3"/>
  <c r="AS112" i="3"/>
  <c r="AH112" i="3"/>
  <c r="AG112" i="3"/>
  <c r="AA112" i="3"/>
  <c r="Y112" i="3"/>
  <c r="V112" i="3"/>
  <c r="U112" i="3"/>
  <c r="T112" i="3"/>
  <c r="S112" i="3"/>
  <c r="B112" i="3"/>
  <c r="AS111" i="3"/>
  <c r="AH111" i="3"/>
  <c r="AA111" i="3"/>
  <c r="Y111" i="3"/>
  <c r="V111" i="3"/>
  <c r="U111" i="3"/>
  <c r="T111" i="3"/>
  <c r="S111" i="3"/>
  <c r="B111" i="3"/>
  <c r="AS110" i="3"/>
  <c r="AH110" i="3"/>
  <c r="AG110" i="3"/>
  <c r="AA110" i="3"/>
  <c r="Y110" i="3"/>
  <c r="V110" i="3"/>
  <c r="U110" i="3"/>
  <c r="T110" i="3"/>
  <c r="S110" i="3"/>
  <c r="B110" i="3"/>
  <c r="AS109" i="3"/>
  <c r="AH109" i="3"/>
  <c r="AA109" i="3"/>
  <c r="Y109" i="3"/>
  <c r="V109" i="3"/>
  <c r="U109" i="3"/>
  <c r="T109" i="3"/>
  <c r="S109" i="3"/>
  <c r="B109" i="3"/>
  <c r="AS108" i="3"/>
  <c r="AH108" i="3"/>
  <c r="AA108" i="3"/>
  <c r="Y108" i="3"/>
  <c r="V108" i="3"/>
  <c r="U108" i="3"/>
  <c r="T108" i="3"/>
  <c r="S108" i="3"/>
  <c r="B108" i="3"/>
  <c r="AS107" i="3"/>
  <c r="AH107" i="3"/>
  <c r="AA107" i="3"/>
  <c r="Y107" i="3"/>
  <c r="V107" i="3"/>
  <c r="U107" i="3"/>
  <c r="T107" i="3"/>
  <c r="S107" i="3"/>
  <c r="B107" i="3"/>
  <c r="AS106" i="3"/>
  <c r="AH106" i="3"/>
  <c r="AA106" i="3"/>
  <c r="Y106" i="3"/>
  <c r="V106" i="3"/>
  <c r="U106" i="3"/>
  <c r="T106" i="3"/>
  <c r="S106" i="3"/>
  <c r="B106" i="3"/>
  <c r="AS105" i="3"/>
  <c r="AH105" i="3"/>
  <c r="AA105" i="3"/>
  <c r="Y105" i="3"/>
  <c r="V105" i="3"/>
  <c r="U105" i="3"/>
  <c r="T105" i="3"/>
  <c r="S105" i="3"/>
  <c r="B105" i="3"/>
  <c r="AS104" i="3"/>
  <c r="AH104" i="3"/>
  <c r="AA104" i="3"/>
  <c r="Y104" i="3"/>
  <c r="V104" i="3"/>
  <c r="U104" i="3"/>
  <c r="T104" i="3"/>
  <c r="S104" i="3"/>
  <c r="B104" i="3"/>
  <c r="AS103" i="3"/>
  <c r="AH103" i="3"/>
  <c r="AA103" i="3"/>
  <c r="Y103" i="3"/>
  <c r="V103" i="3"/>
  <c r="U103" i="3"/>
  <c r="T103" i="3"/>
  <c r="S103" i="3"/>
  <c r="B103" i="3"/>
  <c r="AS102" i="3"/>
  <c r="AH102" i="3"/>
  <c r="AA102" i="3"/>
  <c r="Y102" i="3"/>
  <c r="V102" i="3"/>
  <c r="U102" i="3"/>
  <c r="T102" i="3"/>
  <c r="S102" i="3"/>
  <c r="B102" i="3"/>
  <c r="AS101" i="3"/>
  <c r="AH101" i="3"/>
  <c r="AA101" i="3"/>
  <c r="Y101" i="3"/>
  <c r="V101" i="3"/>
  <c r="U101" i="3"/>
  <c r="T101" i="3"/>
  <c r="S101" i="3"/>
  <c r="B101" i="3"/>
  <c r="AS100" i="3"/>
  <c r="AH100" i="3"/>
  <c r="AA100" i="3"/>
  <c r="Y100" i="3"/>
  <c r="V100" i="3"/>
  <c r="U100" i="3"/>
  <c r="T100" i="3"/>
  <c r="S100" i="3"/>
  <c r="B100" i="3"/>
  <c r="AS99" i="3"/>
  <c r="AH99" i="3"/>
  <c r="AG99" i="3"/>
  <c r="AA99" i="3"/>
  <c r="Y99" i="3"/>
  <c r="V99" i="3"/>
  <c r="U99" i="3"/>
  <c r="T99" i="3"/>
  <c r="S99" i="3"/>
  <c r="B99" i="3"/>
  <c r="AS98" i="3"/>
  <c r="AH98" i="3"/>
  <c r="AG98" i="3"/>
  <c r="AA98" i="3"/>
  <c r="Y98" i="3"/>
  <c r="V98" i="3"/>
  <c r="U98" i="3"/>
  <c r="T98" i="3"/>
  <c r="S98" i="3"/>
  <c r="B98" i="3"/>
  <c r="AS97" i="3"/>
  <c r="AH97" i="3"/>
  <c r="AA97" i="3"/>
  <c r="Y97" i="3"/>
  <c r="V97" i="3"/>
  <c r="U97" i="3"/>
  <c r="T97" i="3"/>
  <c r="S97" i="3"/>
  <c r="B97" i="3"/>
  <c r="AS96" i="3"/>
  <c r="AH96" i="3"/>
  <c r="AA96" i="3"/>
  <c r="Y96" i="3"/>
  <c r="V96" i="3"/>
  <c r="T96" i="3"/>
  <c r="S96" i="3"/>
  <c r="B96" i="3"/>
  <c r="AS95" i="3"/>
  <c r="AH95" i="3"/>
  <c r="AG95" i="3"/>
  <c r="AA95" i="3"/>
  <c r="Y95" i="3"/>
  <c r="V95" i="3"/>
  <c r="U95" i="3"/>
  <c r="T95" i="3"/>
  <c r="S95" i="3"/>
  <c r="B95" i="3"/>
  <c r="AS94" i="3"/>
  <c r="AH94" i="3"/>
  <c r="AA94" i="3"/>
  <c r="Y94" i="3"/>
  <c r="V94" i="3"/>
  <c r="U94" i="3"/>
  <c r="T94" i="3"/>
  <c r="S94" i="3"/>
  <c r="B94" i="3"/>
  <c r="AS93" i="3"/>
  <c r="AH93" i="3"/>
  <c r="AG93" i="3"/>
  <c r="AA93" i="3"/>
  <c r="Y93" i="3"/>
  <c r="V93" i="3"/>
  <c r="U93" i="3"/>
  <c r="T93" i="3"/>
  <c r="S93" i="3"/>
  <c r="B93" i="3"/>
  <c r="AS92" i="3"/>
  <c r="AH92" i="3"/>
  <c r="AG92" i="3"/>
  <c r="AA92" i="3"/>
  <c r="Y92" i="3"/>
  <c r="V92" i="3"/>
  <c r="U92" i="3"/>
  <c r="T92" i="3"/>
  <c r="S92" i="3"/>
  <c r="B92" i="3"/>
  <c r="AS91" i="3"/>
  <c r="AH91" i="3"/>
  <c r="AG91" i="3"/>
  <c r="AA91" i="3"/>
  <c r="Y91" i="3"/>
  <c r="V91" i="3"/>
  <c r="U91" i="3"/>
  <c r="T91" i="3"/>
  <c r="S91" i="3"/>
  <c r="B91" i="3"/>
  <c r="AS90" i="3"/>
  <c r="AH90" i="3"/>
  <c r="AG90" i="3"/>
  <c r="AA90" i="3"/>
  <c r="Y90" i="3"/>
  <c r="V90" i="3"/>
  <c r="U90" i="3"/>
  <c r="T90" i="3"/>
  <c r="S90" i="3"/>
  <c r="B90" i="3"/>
  <c r="AS89" i="3"/>
  <c r="AH89" i="3"/>
  <c r="AA89" i="3"/>
  <c r="Y89" i="3"/>
  <c r="V89" i="3"/>
  <c r="U89" i="3"/>
  <c r="T89" i="3"/>
  <c r="S89" i="3"/>
  <c r="B89" i="3"/>
  <c r="AS88" i="3"/>
  <c r="AH88" i="3"/>
  <c r="AA88" i="3"/>
  <c r="Y88" i="3"/>
  <c r="V88" i="3"/>
  <c r="U88" i="3"/>
  <c r="T88" i="3"/>
  <c r="S88" i="3"/>
  <c r="B88" i="3"/>
  <c r="AS87" i="3"/>
  <c r="AR87" i="3"/>
  <c r="AH87" i="3"/>
  <c r="AA87" i="3"/>
  <c r="Y87" i="3"/>
  <c r="V87" i="3"/>
  <c r="U87" i="3"/>
  <c r="T87" i="3"/>
  <c r="S87" i="3"/>
  <c r="B87" i="3"/>
  <c r="AS86" i="3"/>
  <c r="AR86" i="3"/>
  <c r="AH86" i="3"/>
  <c r="AA86" i="3"/>
  <c r="Y86" i="3"/>
  <c r="V86" i="3"/>
  <c r="U86" i="3"/>
  <c r="T86" i="3"/>
  <c r="S86" i="3"/>
  <c r="B86" i="3"/>
  <c r="AS85" i="3"/>
  <c r="AH85" i="3"/>
  <c r="AA85" i="3"/>
  <c r="Y85" i="3"/>
  <c r="V85" i="3"/>
  <c r="U85" i="3"/>
  <c r="T85" i="3"/>
  <c r="S85" i="3"/>
  <c r="B85" i="3"/>
  <c r="AS84" i="3"/>
  <c r="AH84" i="3"/>
  <c r="AA84" i="3"/>
  <c r="Y84" i="3"/>
  <c r="V84" i="3"/>
  <c r="U84" i="3"/>
  <c r="T84" i="3"/>
  <c r="S84" i="3"/>
  <c r="B84" i="3"/>
  <c r="AS83" i="3"/>
  <c r="AH83" i="3"/>
  <c r="AA83" i="3"/>
  <c r="Y83" i="3"/>
  <c r="V83" i="3"/>
  <c r="U83" i="3"/>
  <c r="T83" i="3"/>
  <c r="S83" i="3"/>
  <c r="B83" i="3"/>
  <c r="AS82" i="3"/>
  <c r="AH82" i="3"/>
  <c r="AA82" i="3"/>
  <c r="Y82" i="3"/>
  <c r="V82" i="3"/>
  <c r="U82" i="3"/>
  <c r="T82" i="3"/>
  <c r="S82" i="3"/>
  <c r="B82" i="3"/>
  <c r="AS81" i="3"/>
  <c r="AH81" i="3"/>
  <c r="AG81" i="3"/>
  <c r="AA81" i="3"/>
  <c r="Y81" i="3"/>
  <c r="V81" i="3"/>
  <c r="U81" i="3"/>
  <c r="T81" i="3"/>
  <c r="S81" i="3"/>
  <c r="B81" i="3"/>
  <c r="AS80" i="3"/>
  <c r="AH80" i="3"/>
  <c r="AA80" i="3"/>
  <c r="Y80" i="3"/>
  <c r="V80" i="3"/>
  <c r="U80" i="3"/>
  <c r="T80" i="3"/>
  <c r="S80" i="3"/>
  <c r="B80" i="3"/>
  <c r="AS79" i="3"/>
  <c r="AH79" i="3"/>
  <c r="AG79" i="3"/>
  <c r="AA79" i="3"/>
  <c r="Y79" i="3"/>
  <c r="V79" i="3"/>
  <c r="U79" i="3"/>
  <c r="T79" i="3"/>
  <c r="S79" i="3"/>
  <c r="B79" i="3"/>
  <c r="AS78" i="3"/>
  <c r="AH78" i="3"/>
  <c r="AA78" i="3"/>
  <c r="Y78" i="3"/>
  <c r="V78" i="3"/>
  <c r="U78" i="3"/>
  <c r="T78" i="3"/>
  <c r="S78" i="3"/>
  <c r="B78" i="3"/>
  <c r="AS77" i="3"/>
  <c r="AH77" i="3"/>
  <c r="AA77" i="3"/>
  <c r="Y77" i="3"/>
  <c r="V77" i="3"/>
  <c r="U77" i="3"/>
  <c r="T77" i="3"/>
  <c r="S77" i="3"/>
  <c r="B77" i="3"/>
  <c r="AS76" i="3"/>
  <c r="AH76" i="3"/>
  <c r="AA76" i="3"/>
  <c r="Y76" i="3"/>
  <c r="V76" i="3"/>
  <c r="U76" i="3"/>
  <c r="T76" i="3"/>
  <c r="S76" i="3"/>
  <c r="B76" i="3"/>
  <c r="AS75" i="3"/>
  <c r="AH75" i="3"/>
  <c r="AA75" i="3"/>
  <c r="Y75" i="3"/>
  <c r="V75" i="3"/>
  <c r="T75" i="3"/>
  <c r="S75" i="3"/>
  <c r="B75" i="3"/>
  <c r="AS74" i="3"/>
  <c r="AH74" i="3"/>
  <c r="AG74" i="3"/>
  <c r="AA74" i="3"/>
  <c r="Y74" i="3"/>
  <c r="V74" i="3"/>
  <c r="U74" i="3"/>
  <c r="T74" i="3"/>
  <c r="S74" i="3"/>
  <c r="B74" i="3"/>
  <c r="AS73" i="3"/>
  <c r="AH73" i="3"/>
  <c r="AA73" i="3"/>
  <c r="Y73" i="3"/>
  <c r="V73" i="3"/>
  <c r="U73" i="3"/>
  <c r="T73" i="3"/>
  <c r="S73" i="3"/>
  <c r="B73" i="3"/>
  <c r="AS72" i="3"/>
  <c r="AH72" i="3"/>
  <c r="AA72" i="3"/>
  <c r="Y72" i="3"/>
  <c r="V72" i="3"/>
  <c r="U72" i="3"/>
  <c r="T72" i="3"/>
  <c r="S72" i="3"/>
  <c r="B72" i="3"/>
  <c r="AS71" i="3"/>
  <c r="AH71" i="3"/>
  <c r="AA71" i="3"/>
  <c r="Y71" i="3"/>
  <c r="V71" i="3"/>
  <c r="U71" i="3"/>
  <c r="T71" i="3"/>
  <c r="S71" i="3"/>
  <c r="B71" i="3"/>
  <c r="AS70" i="3"/>
  <c r="AH70" i="3"/>
  <c r="AG70" i="3"/>
  <c r="AA70" i="3"/>
  <c r="Y70" i="3"/>
  <c r="V70" i="3"/>
  <c r="U70" i="3"/>
  <c r="T70" i="3"/>
  <c r="S70" i="3"/>
  <c r="B70" i="3"/>
  <c r="AS69" i="3"/>
  <c r="AH69" i="3"/>
  <c r="AG69" i="3"/>
  <c r="AA69" i="3"/>
  <c r="Y69" i="3"/>
  <c r="V69" i="3"/>
  <c r="U69" i="3"/>
  <c r="T69" i="3"/>
  <c r="S69" i="3"/>
  <c r="B69" i="3"/>
  <c r="AS68" i="3"/>
  <c r="AR68" i="3"/>
  <c r="AH68" i="3"/>
  <c r="AA68" i="3"/>
  <c r="Y68" i="3"/>
  <c r="V68" i="3"/>
  <c r="U68" i="3"/>
  <c r="T68" i="3"/>
  <c r="S68" i="3"/>
  <c r="B68" i="3"/>
  <c r="AS67" i="3"/>
  <c r="AH67" i="3"/>
  <c r="AG67" i="3"/>
  <c r="AA67" i="3"/>
  <c r="Y67" i="3"/>
  <c r="V67" i="3"/>
  <c r="U67" i="3"/>
  <c r="T67" i="3"/>
  <c r="S67" i="3"/>
  <c r="B67" i="3"/>
  <c r="AS66" i="3"/>
  <c r="AH66" i="3"/>
  <c r="AA66" i="3"/>
  <c r="Y66" i="3"/>
  <c r="V66" i="3"/>
  <c r="U66" i="3"/>
  <c r="T66" i="3"/>
  <c r="S66" i="3"/>
  <c r="B66" i="3"/>
  <c r="AS65" i="3"/>
  <c r="AH65" i="3"/>
  <c r="AA65" i="3"/>
  <c r="Y65" i="3"/>
  <c r="V65" i="3"/>
  <c r="U65" i="3"/>
  <c r="T65" i="3"/>
  <c r="S65" i="3"/>
  <c r="B65" i="3"/>
  <c r="AS64" i="3"/>
  <c r="AH64" i="3"/>
  <c r="AA64" i="3"/>
  <c r="Y64" i="3"/>
  <c r="V64" i="3"/>
  <c r="U64" i="3"/>
  <c r="T64" i="3"/>
  <c r="S64" i="3"/>
  <c r="B64" i="3"/>
  <c r="AS63" i="3"/>
  <c r="AH63" i="3"/>
  <c r="AA63" i="3"/>
  <c r="Y63" i="3"/>
  <c r="V63" i="3"/>
  <c r="U63" i="3"/>
  <c r="T63" i="3"/>
  <c r="S63" i="3"/>
  <c r="B63" i="3"/>
  <c r="AS62" i="3"/>
  <c r="AH62" i="3"/>
  <c r="AA62" i="3"/>
  <c r="Y62" i="3"/>
  <c r="V62" i="3"/>
  <c r="U62" i="3"/>
  <c r="T62" i="3"/>
  <c r="S62" i="3"/>
  <c r="B62" i="3"/>
  <c r="AS61" i="3"/>
  <c r="AH61" i="3"/>
  <c r="AA61" i="3"/>
  <c r="Y61" i="3"/>
  <c r="V61" i="3"/>
  <c r="U61" i="3"/>
  <c r="T61" i="3"/>
  <c r="S61" i="3"/>
  <c r="B61" i="3"/>
  <c r="AS60" i="3"/>
  <c r="AH60" i="3"/>
  <c r="AA60" i="3"/>
  <c r="Y60" i="3"/>
  <c r="V60" i="3"/>
  <c r="U60" i="3"/>
  <c r="T60" i="3"/>
  <c r="S60" i="3"/>
  <c r="B60" i="3"/>
  <c r="AS59" i="3"/>
  <c r="AH59" i="3"/>
  <c r="AA59" i="3"/>
  <c r="Y59" i="3"/>
  <c r="V59" i="3"/>
  <c r="U59" i="3"/>
  <c r="T59" i="3"/>
  <c r="S59" i="3"/>
  <c r="B59" i="3"/>
  <c r="AS58" i="3"/>
  <c r="AH58" i="3"/>
  <c r="AA58" i="3"/>
  <c r="Y58" i="3"/>
  <c r="V58" i="3"/>
  <c r="U58" i="3"/>
  <c r="T58" i="3"/>
  <c r="S58" i="3"/>
  <c r="B58" i="3"/>
  <c r="AS57" i="3"/>
  <c r="AH57" i="3"/>
  <c r="AA57" i="3"/>
  <c r="Y57" i="3"/>
  <c r="V57" i="3"/>
  <c r="U57" i="3"/>
  <c r="T57" i="3"/>
  <c r="S57" i="3"/>
  <c r="B57" i="3"/>
  <c r="AS56" i="3"/>
  <c r="AH56" i="3"/>
  <c r="AA56" i="3"/>
  <c r="Y56" i="3"/>
  <c r="V56" i="3"/>
  <c r="U56" i="3"/>
  <c r="T56" i="3"/>
  <c r="S56" i="3"/>
  <c r="B56" i="3"/>
  <c r="AS55" i="3"/>
  <c r="AH55" i="3"/>
  <c r="AA55" i="3"/>
  <c r="Y55" i="3"/>
  <c r="V55" i="3"/>
  <c r="U55" i="3"/>
  <c r="T55" i="3"/>
  <c r="S55" i="3"/>
  <c r="B55" i="3"/>
  <c r="AS54" i="3"/>
  <c r="AH54" i="3"/>
  <c r="AA54" i="3"/>
  <c r="Y54" i="3"/>
  <c r="V54" i="3"/>
  <c r="U54" i="3"/>
  <c r="T54" i="3"/>
  <c r="S54" i="3"/>
  <c r="B54" i="3"/>
  <c r="AS53" i="3"/>
  <c r="AH53" i="3"/>
  <c r="AA53" i="3"/>
  <c r="Y53" i="3"/>
  <c r="V53" i="3"/>
  <c r="U53" i="3"/>
  <c r="T53" i="3"/>
  <c r="S53" i="3"/>
  <c r="B53" i="3"/>
  <c r="AS52" i="3"/>
  <c r="AH52" i="3"/>
  <c r="AA52" i="3"/>
  <c r="Y52" i="3"/>
  <c r="V52" i="3"/>
  <c r="U52" i="3"/>
  <c r="T52" i="3"/>
  <c r="S52" i="3"/>
  <c r="B52" i="3"/>
  <c r="AS51" i="3"/>
  <c r="AH51" i="3"/>
  <c r="AA51" i="3"/>
  <c r="Y51" i="3"/>
  <c r="V51" i="3"/>
  <c r="U51" i="3"/>
  <c r="T51" i="3"/>
  <c r="S51" i="3"/>
  <c r="B51" i="3"/>
  <c r="AS50" i="3"/>
  <c r="AR50" i="3"/>
  <c r="AH50" i="3"/>
  <c r="AA50" i="3"/>
  <c r="Y50" i="3"/>
  <c r="V50" i="3"/>
  <c r="U50" i="3"/>
  <c r="T50" i="3"/>
  <c r="S50" i="3"/>
  <c r="B50" i="3"/>
  <c r="AS49" i="3"/>
  <c r="AH49" i="3"/>
  <c r="AG49" i="3"/>
  <c r="AA49" i="3"/>
  <c r="Y49" i="3"/>
  <c r="V49" i="3"/>
  <c r="U49" i="3"/>
  <c r="T49" i="3"/>
  <c r="S49" i="3"/>
  <c r="B49" i="3"/>
  <c r="AS48" i="3"/>
  <c r="AH48" i="3"/>
  <c r="AA48" i="3"/>
  <c r="Y48" i="3"/>
  <c r="V48" i="3"/>
  <c r="U48" i="3"/>
  <c r="T48" i="3"/>
  <c r="S48" i="3"/>
  <c r="B48" i="3"/>
  <c r="AS47" i="3"/>
  <c r="AH47" i="3"/>
  <c r="AA47" i="3"/>
  <c r="Y47" i="3"/>
  <c r="V47" i="3"/>
  <c r="U47" i="3"/>
  <c r="T47" i="3"/>
  <c r="S47" i="3"/>
  <c r="B47" i="3"/>
  <c r="AS46" i="3"/>
  <c r="AR46" i="3"/>
  <c r="AH46" i="3"/>
  <c r="AA46" i="3"/>
  <c r="Y46" i="3"/>
  <c r="V46" i="3"/>
  <c r="U46" i="3"/>
  <c r="T46" i="3"/>
  <c r="S46" i="3"/>
  <c r="B46" i="3"/>
  <c r="AS45" i="3"/>
  <c r="AR45" i="3"/>
  <c r="AH45" i="3"/>
  <c r="AA45" i="3"/>
  <c r="Y45" i="3"/>
  <c r="V45" i="3"/>
  <c r="U45" i="3"/>
  <c r="T45" i="3"/>
  <c r="S45" i="3"/>
  <c r="B45" i="3"/>
  <c r="AS44" i="3"/>
  <c r="AR44" i="3"/>
  <c r="AH44" i="3"/>
  <c r="AA44" i="3"/>
  <c r="Y44" i="3"/>
  <c r="V44" i="3"/>
  <c r="U44" i="3"/>
  <c r="T44" i="3"/>
  <c r="S44" i="3"/>
  <c r="B44" i="3"/>
  <c r="AS43" i="3"/>
  <c r="AR43" i="3"/>
  <c r="AH43" i="3"/>
  <c r="AA43" i="3"/>
  <c r="Y43" i="3"/>
  <c r="V43" i="3"/>
  <c r="U43" i="3"/>
  <c r="T43" i="3"/>
  <c r="S43" i="3"/>
  <c r="B43" i="3"/>
  <c r="AS42" i="3"/>
  <c r="AH42" i="3"/>
  <c r="AA42" i="3"/>
  <c r="Y42" i="3"/>
  <c r="V42" i="3"/>
  <c r="U42" i="3"/>
  <c r="T42" i="3"/>
  <c r="S42" i="3"/>
  <c r="B42" i="3"/>
  <c r="AS41" i="3"/>
  <c r="AH41" i="3"/>
  <c r="AA41" i="3"/>
  <c r="Y41" i="3"/>
  <c r="V41" i="3"/>
  <c r="U41" i="3"/>
  <c r="T41" i="3"/>
  <c r="S41" i="3"/>
  <c r="B41" i="3"/>
  <c r="AS40" i="3"/>
  <c r="AH40" i="3"/>
  <c r="AA40" i="3"/>
  <c r="Y40" i="3"/>
  <c r="V40" i="3"/>
  <c r="U40" i="3"/>
  <c r="T40" i="3"/>
  <c r="S40" i="3"/>
  <c r="B40" i="3"/>
  <c r="AS39" i="3"/>
  <c r="AH39" i="3"/>
  <c r="AA39" i="3"/>
  <c r="Y39" i="3"/>
  <c r="V39" i="3"/>
  <c r="T39" i="3"/>
  <c r="S39" i="3"/>
  <c r="B39" i="3"/>
  <c r="AS38" i="3"/>
  <c r="AH38" i="3"/>
  <c r="AA38" i="3"/>
  <c r="Y38" i="3"/>
  <c r="V38" i="3"/>
  <c r="U38" i="3"/>
  <c r="T38" i="3"/>
  <c r="S38" i="3"/>
  <c r="B38" i="3"/>
  <c r="AS37" i="3"/>
  <c r="AH37" i="3"/>
  <c r="AA37" i="3"/>
  <c r="Y37" i="3"/>
  <c r="V37" i="3"/>
  <c r="U37" i="3"/>
  <c r="T37" i="3"/>
  <c r="S37" i="3"/>
  <c r="B37" i="3"/>
  <c r="AS36" i="3"/>
  <c r="AH36" i="3"/>
  <c r="AA36" i="3"/>
  <c r="Y36" i="3"/>
  <c r="V36" i="3"/>
  <c r="U36" i="3"/>
  <c r="T36" i="3"/>
  <c r="S36" i="3"/>
  <c r="B36" i="3"/>
  <c r="AS35" i="3"/>
  <c r="AH35" i="3"/>
  <c r="AA35" i="3"/>
  <c r="Y35" i="3"/>
  <c r="V35" i="3"/>
  <c r="U35" i="3"/>
  <c r="T35" i="3"/>
  <c r="S35" i="3"/>
  <c r="B35" i="3"/>
  <c r="AS34" i="3"/>
  <c r="AH34" i="3"/>
  <c r="AA34" i="3"/>
  <c r="Y34" i="3"/>
  <c r="V34" i="3"/>
  <c r="U34" i="3"/>
  <c r="T34" i="3"/>
  <c r="S34" i="3"/>
  <c r="B34" i="3"/>
  <c r="AS33" i="3"/>
  <c r="AR33" i="3"/>
  <c r="AH33" i="3"/>
  <c r="AA33" i="3"/>
  <c r="Y33" i="3"/>
  <c r="V33" i="3"/>
  <c r="U33" i="3"/>
  <c r="T33" i="3"/>
  <c r="S33" i="3"/>
  <c r="B33" i="3"/>
  <c r="AS32" i="3"/>
  <c r="AH32" i="3"/>
  <c r="AA32" i="3"/>
  <c r="Y32" i="3"/>
  <c r="V32" i="3"/>
  <c r="U32" i="3"/>
  <c r="T32" i="3"/>
  <c r="S32" i="3"/>
  <c r="B32" i="3"/>
  <c r="AS31" i="3"/>
  <c r="AR31" i="3"/>
  <c r="AH31" i="3"/>
  <c r="AA31" i="3"/>
  <c r="Y31" i="3"/>
  <c r="V31" i="3"/>
  <c r="U31" i="3"/>
  <c r="T31" i="3"/>
  <c r="S31" i="3"/>
  <c r="B31" i="3"/>
  <c r="AS30" i="3"/>
  <c r="AH30" i="3"/>
  <c r="AA30" i="3"/>
  <c r="Y30" i="3"/>
  <c r="V30" i="3"/>
  <c r="U30" i="3"/>
  <c r="T30" i="3"/>
  <c r="S30" i="3"/>
  <c r="B30" i="3"/>
  <c r="AS29" i="3"/>
  <c r="AH29" i="3"/>
  <c r="AA29" i="3"/>
  <c r="Y29" i="3"/>
  <c r="V29" i="3"/>
  <c r="U29" i="3"/>
  <c r="T29" i="3"/>
  <c r="S29" i="3"/>
  <c r="B29" i="3"/>
  <c r="AS28" i="3"/>
  <c r="AH28" i="3"/>
  <c r="AG28" i="3"/>
  <c r="AA28" i="3"/>
  <c r="Y28" i="3"/>
  <c r="V28" i="3"/>
  <c r="U28" i="3"/>
  <c r="T28" i="3"/>
  <c r="S28" i="3"/>
  <c r="B28" i="3"/>
  <c r="AS27" i="3"/>
  <c r="AH27" i="3"/>
  <c r="AA27" i="3"/>
  <c r="Y27" i="3"/>
  <c r="V27" i="3"/>
  <c r="U27" i="3"/>
  <c r="T27" i="3"/>
  <c r="S27" i="3"/>
  <c r="B27" i="3"/>
  <c r="AS26" i="3"/>
  <c r="AH26" i="3"/>
  <c r="AA26" i="3"/>
  <c r="Y26" i="3"/>
  <c r="V26" i="3"/>
  <c r="U26" i="3"/>
  <c r="T26" i="3"/>
  <c r="S26" i="3"/>
  <c r="B26" i="3"/>
  <c r="AS25" i="3"/>
  <c r="AH25" i="3"/>
  <c r="AA25" i="3"/>
  <c r="Y25" i="3"/>
  <c r="V25" i="3"/>
  <c r="U25" i="3"/>
  <c r="T25" i="3"/>
  <c r="S25" i="3"/>
  <c r="B25" i="3"/>
  <c r="AS24" i="3"/>
  <c r="AH24" i="3"/>
  <c r="AA24" i="3"/>
  <c r="Y24" i="3"/>
  <c r="V24" i="3"/>
  <c r="U24" i="3"/>
  <c r="T24" i="3"/>
  <c r="S24" i="3"/>
  <c r="B24" i="3"/>
  <c r="AS23" i="3"/>
  <c r="AH23" i="3"/>
  <c r="AA23" i="3"/>
  <c r="Y23" i="3"/>
  <c r="V23" i="3"/>
  <c r="U23" i="3"/>
  <c r="T23" i="3"/>
  <c r="S23" i="3"/>
  <c r="B23" i="3"/>
  <c r="AS22" i="3"/>
  <c r="AH22" i="3"/>
  <c r="AA22" i="3"/>
  <c r="Y22" i="3"/>
  <c r="V22" i="3"/>
  <c r="U22" i="3"/>
  <c r="T22" i="3"/>
  <c r="S22" i="3"/>
  <c r="B22" i="3"/>
  <c r="AS21" i="3"/>
  <c r="AH21" i="3"/>
  <c r="AG21" i="3"/>
  <c r="AA21" i="3"/>
  <c r="Y21" i="3"/>
  <c r="V21" i="3"/>
  <c r="U21" i="3"/>
  <c r="T21" i="3"/>
  <c r="S21" i="3"/>
  <c r="B21" i="3"/>
  <c r="AS20" i="3"/>
  <c r="AH20" i="3"/>
  <c r="AA20" i="3"/>
  <c r="Y20" i="3"/>
  <c r="V20" i="3"/>
  <c r="U20" i="3"/>
  <c r="T20" i="3"/>
  <c r="S20" i="3"/>
  <c r="B20" i="3"/>
  <c r="AS19" i="3"/>
  <c r="AH19" i="3"/>
  <c r="AA19" i="3"/>
  <c r="Y19" i="3"/>
  <c r="V19" i="3"/>
  <c r="U19" i="3"/>
  <c r="T19" i="3"/>
  <c r="S19" i="3"/>
  <c r="B19" i="3"/>
  <c r="AS18" i="3"/>
  <c r="AR18" i="3"/>
  <c r="AH18" i="3"/>
  <c r="AA18" i="3"/>
  <c r="Y18" i="3"/>
  <c r="V18" i="3"/>
  <c r="U18" i="3"/>
  <c r="T18" i="3"/>
  <c r="S18" i="3"/>
  <c r="B18" i="3"/>
  <c r="AS17" i="3"/>
  <c r="AH17" i="3"/>
  <c r="AA17" i="3"/>
  <c r="Y17" i="3"/>
  <c r="V17" i="3"/>
  <c r="U17" i="3"/>
  <c r="T17" i="3"/>
  <c r="S17" i="3"/>
  <c r="B17" i="3"/>
  <c r="AS16" i="3"/>
  <c r="AH16" i="3"/>
  <c r="AA16" i="3"/>
  <c r="Y16" i="3"/>
  <c r="V16" i="3"/>
  <c r="U16" i="3"/>
  <c r="T16" i="3"/>
  <c r="S16" i="3"/>
  <c r="B16" i="3"/>
  <c r="U15" i="3"/>
  <c r="T15" i="3"/>
  <c r="S15" i="3"/>
  <c r="R15" i="3"/>
  <c r="Q15" i="3"/>
  <c r="L15" i="3"/>
  <c r="K15" i="3"/>
  <c r="J15" i="3"/>
  <c r="I15" i="3"/>
  <c r="T14" i="3"/>
  <c r="R14" i="3"/>
  <c r="Q14" i="3"/>
  <c r="L14" i="3"/>
  <c r="K14" i="3"/>
  <c r="J14" i="3"/>
  <c r="I14" i="3"/>
  <c r="T13" i="3"/>
  <c r="R13" i="3"/>
  <c r="Q13" i="3"/>
  <c r="P13" i="3"/>
  <c r="L13" i="3"/>
  <c r="K13" i="3"/>
  <c r="J13" i="3"/>
  <c r="I13" i="3"/>
  <c r="AT1218" i="7"/>
  <c r="AC1218" i="7"/>
  <c r="D1218" i="7"/>
  <c r="B1218" i="7"/>
  <c r="AE1217" i="7"/>
  <c r="AD1217" i="7"/>
  <c r="AC1217" i="7"/>
  <c r="AB1217" i="7"/>
  <c r="AA1217" i="7"/>
  <c r="Z1217" i="7"/>
  <c r="Y1217" i="7"/>
  <c r="X1217" i="7"/>
  <c r="W1217" i="7"/>
  <c r="V1217" i="7"/>
  <c r="U1217" i="7"/>
  <c r="T1217" i="7"/>
  <c r="S1217" i="7"/>
  <c r="R1217" i="7"/>
  <c r="Q1217" i="7"/>
  <c r="P1217" i="7"/>
  <c r="O1217" i="7"/>
  <c r="N1217" i="7"/>
  <c r="M1217" i="7"/>
  <c r="L1217" i="7"/>
  <c r="K1217" i="7"/>
  <c r="J1217" i="7"/>
  <c r="I1217" i="7"/>
  <c r="H1217" i="7"/>
  <c r="G1217" i="7"/>
  <c r="F1217" i="7"/>
  <c r="E1217" i="7"/>
  <c r="D1217" i="7"/>
  <c r="AC1216" i="7"/>
  <c r="D1216" i="7"/>
  <c r="B1216" i="7"/>
  <c r="AC1215" i="7"/>
  <c r="D1215" i="7" s="1"/>
  <c r="B1215" i="7"/>
  <c r="AC1214" i="7"/>
  <c r="D1214" i="7" s="1"/>
  <c r="B1214" i="7"/>
  <c r="AE1213" i="7"/>
  <c r="AD1213" i="7"/>
  <c r="AB1213" i="7"/>
  <c r="AA1213" i="7"/>
  <c r="Z1213" i="7"/>
  <c r="Y1213" i="7"/>
  <c r="X1213" i="7"/>
  <c r="W1213" i="7"/>
  <c r="V1213" i="7"/>
  <c r="U1213" i="7"/>
  <c r="T1213" i="7"/>
  <c r="S1213" i="7"/>
  <c r="R1213" i="7"/>
  <c r="Q1213" i="7"/>
  <c r="P1213" i="7"/>
  <c r="O1213" i="7"/>
  <c r="N1213" i="7"/>
  <c r="M1213" i="7"/>
  <c r="L1213" i="7"/>
  <c r="K1213" i="7"/>
  <c r="J1213" i="7"/>
  <c r="I1213" i="7"/>
  <c r="H1213" i="7"/>
  <c r="G1213" i="7"/>
  <c r="F1213" i="7"/>
  <c r="E1213" i="7"/>
  <c r="AC1212" i="7"/>
  <c r="D1212" i="7" s="1"/>
  <c r="D1211" i="7" s="1"/>
  <c r="N1212" i="7"/>
  <c r="B1212" i="7"/>
  <c r="AE1211" i="7"/>
  <c r="AD1211" i="7"/>
  <c r="AB1211" i="7"/>
  <c r="AA1211" i="7"/>
  <c r="Z1211" i="7"/>
  <c r="Y1211" i="7"/>
  <c r="X1211" i="7"/>
  <c r="W1211" i="7"/>
  <c r="V1211" i="7"/>
  <c r="U1211" i="7"/>
  <c r="T1211" i="7"/>
  <c r="S1211" i="7"/>
  <c r="R1211" i="7"/>
  <c r="Q1211" i="7"/>
  <c r="P1211" i="7"/>
  <c r="O1211" i="7"/>
  <c r="N1211" i="7"/>
  <c r="M1211" i="7"/>
  <c r="L1211" i="7"/>
  <c r="K1211" i="7"/>
  <c r="J1211" i="7"/>
  <c r="I1211" i="7"/>
  <c r="H1211" i="7"/>
  <c r="G1211" i="7"/>
  <c r="F1211" i="7"/>
  <c r="E1211" i="7"/>
  <c r="AC1210" i="7"/>
  <c r="D1210" i="7" s="1"/>
  <c r="D1209" i="7" s="1"/>
  <c r="B1210" i="7"/>
  <c r="AE1209" i="7"/>
  <c r="AD1209" i="7"/>
  <c r="AB1209" i="7"/>
  <c r="AA1209" i="7"/>
  <c r="Z1209" i="7"/>
  <c r="Y1209" i="7"/>
  <c r="X1209" i="7"/>
  <c r="W1209" i="7"/>
  <c r="V1209" i="7"/>
  <c r="U1209" i="7"/>
  <c r="T1209" i="7"/>
  <c r="S1209" i="7"/>
  <c r="R1209" i="7"/>
  <c r="Q1209" i="7"/>
  <c r="P1209" i="7"/>
  <c r="O1209" i="7"/>
  <c r="N1209" i="7"/>
  <c r="M1209" i="7"/>
  <c r="L1209" i="7"/>
  <c r="K1209" i="7"/>
  <c r="J1209" i="7"/>
  <c r="I1209" i="7"/>
  <c r="H1209" i="7"/>
  <c r="G1209" i="7"/>
  <c r="F1209" i="7"/>
  <c r="E1209" i="7"/>
  <c r="AC1208" i="7"/>
  <c r="N1208" i="7"/>
  <c r="B1208" i="7"/>
  <c r="AE1207" i="7"/>
  <c r="AD1207" i="7"/>
  <c r="AB1207" i="7"/>
  <c r="AA1207" i="7"/>
  <c r="Z1207" i="7"/>
  <c r="Y1207" i="7"/>
  <c r="X1207" i="7"/>
  <c r="W1207" i="7"/>
  <c r="V1207" i="7"/>
  <c r="U1207" i="7"/>
  <c r="T1207" i="7"/>
  <c r="S1207" i="7"/>
  <c r="R1207" i="7"/>
  <c r="Q1207" i="7"/>
  <c r="P1207" i="7"/>
  <c r="O1207" i="7"/>
  <c r="N1207" i="7"/>
  <c r="M1207" i="7"/>
  <c r="L1207" i="7"/>
  <c r="K1207" i="7"/>
  <c r="J1207" i="7"/>
  <c r="I1207" i="7"/>
  <c r="H1207" i="7"/>
  <c r="G1207" i="7"/>
  <c r="F1207" i="7"/>
  <c r="E1207" i="7"/>
  <c r="AC1206" i="7"/>
  <c r="D1206" i="7" s="1"/>
  <c r="B1206" i="7"/>
  <c r="AC1205" i="7"/>
  <c r="D1205" i="7" s="1"/>
  <c r="B1205" i="7"/>
  <c r="AC1204" i="7"/>
  <c r="B1204" i="7"/>
  <c r="AE1203" i="7"/>
  <c r="AD1203" i="7"/>
  <c r="AB1203" i="7"/>
  <c r="AA1203" i="7"/>
  <c r="Z1203" i="7"/>
  <c r="Y1203" i="7"/>
  <c r="X1203" i="7"/>
  <c r="W1203" i="7"/>
  <c r="V1203" i="7"/>
  <c r="U1203" i="7"/>
  <c r="T1203" i="7"/>
  <c r="S1203" i="7"/>
  <c r="R1203" i="7"/>
  <c r="Q1203" i="7"/>
  <c r="P1203" i="7"/>
  <c r="O1203" i="7"/>
  <c r="N1203" i="7"/>
  <c r="M1203" i="7"/>
  <c r="L1203" i="7"/>
  <c r="K1203" i="7"/>
  <c r="J1203" i="7"/>
  <c r="I1203" i="7"/>
  <c r="H1203" i="7"/>
  <c r="G1203" i="7"/>
  <c r="F1203" i="7"/>
  <c r="E1203" i="7"/>
  <c r="AC1202" i="7"/>
  <c r="B1202" i="7"/>
  <c r="AC1201" i="7"/>
  <c r="D1201" i="7" s="1"/>
  <c r="B1201" i="7"/>
  <c r="AE1200" i="7"/>
  <c r="AD1200" i="7"/>
  <c r="AB1200" i="7"/>
  <c r="AA1200" i="7"/>
  <c r="Z1200" i="7"/>
  <c r="Y1200" i="7"/>
  <c r="X1200" i="7"/>
  <c r="W1200" i="7"/>
  <c r="V1200" i="7"/>
  <c r="U1200" i="7"/>
  <c r="T1200" i="7"/>
  <c r="S1200" i="7"/>
  <c r="R1200" i="7"/>
  <c r="Q1200" i="7"/>
  <c r="P1200" i="7"/>
  <c r="O1200" i="7"/>
  <c r="N1200" i="7"/>
  <c r="M1200" i="7"/>
  <c r="L1200" i="7"/>
  <c r="K1200" i="7"/>
  <c r="J1200" i="7"/>
  <c r="I1200" i="7"/>
  <c r="H1200" i="7"/>
  <c r="G1200" i="7"/>
  <c r="F1200" i="7"/>
  <c r="E1200" i="7"/>
  <c r="AC1199" i="7"/>
  <c r="D1199" i="7" s="1"/>
  <c r="D1198" i="7" s="1"/>
  <c r="B1199" i="7"/>
  <c r="AE1198" i="7"/>
  <c r="AD1198" i="7"/>
  <c r="AB1198" i="7"/>
  <c r="AA1198" i="7"/>
  <c r="Z1198" i="7"/>
  <c r="Y1198" i="7"/>
  <c r="X1198" i="7"/>
  <c r="W1198" i="7"/>
  <c r="V1198" i="7"/>
  <c r="U1198" i="7"/>
  <c r="T1198" i="7"/>
  <c r="S1198" i="7"/>
  <c r="R1198" i="7"/>
  <c r="Q1198" i="7"/>
  <c r="P1198" i="7"/>
  <c r="O1198" i="7"/>
  <c r="N1198" i="7"/>
  <c r="M1198" i="7"/>
  <c r="L1198" i="7"/>
  <c r="K1198" i="7"/>
  <c r="J1198" i="7"/>
  <c r="I1198" i="7"/>
  <c r="H1198" i="7"/>
  <c r="G1198" i="7"/>
  <c r="F1198" i="7"/>
  <c r="E1198" i="7"/>
  <c r="AC1197" i="7"/>
  <c r="B1197" i="7"/>
  <c r="AE1196" i="7"/>
  <c r="AD1196" i="7"/>
  <c r="AB1196" i="7"/>
  <c r="AA1196" i="7"/>
  <c r="Z1196" i="7"/>
  <c r="Y1196" i="7"/>
  <c r="X1196" i="7"/>
  <c r="W1196" i="7"/>
  <c r="V1196" i="7"/>
  <c r="U1196" i="7"/>
  <c r="T1196" i="7"/>
  <c r="S1196" i="7"/>
  <c r="R1196" i="7"/>
  <c r="Q1196" i="7"/>
  <c r="P1196" i="7"/>
  <c r="O1196" i="7"/>
  <c r="N1196" i="7"/>
  <c r="M1196" i="7"/>
  <c r="L1196" i="7"/>
  <c r="K1196" i="7"/>
  <c r="J1196" i="7"/>
  <c r="I1196" i="7"/>
  <c r="H1196" i="7"/>
  <c r="G1196" i="7"/>
  <c r="F1196" i="7"/>
  <c r="E1196" i="7"/>
  <c r="AC1195" i="7"/>
  <c r="D1195" i="7" s="1"/>
  <c r="B1195" i="7"/>
  <c r="AC1194" i="7"/>
  <c r="B1194" i="7"/>
  <c r="AE1193" i="7"/>
  <c r="AD1193" i="7"/>
  <c r="AB1193" i="7"/>
  <c r="AA1193" i="7"/>
  <c r="Z1193" i="7"/>
  <c r="Y1193" i="7"/>
  <c r="X1193" i="7"/>
  <c r="W1193" i="7"/>
  <c r="V1193" i="7"/>
  <c r="U1193" i="7"/>
  <c r="T1193" i="7"/>
  <c r="S1193" i="7"/>
  <c r="R1193" i="7"/>
  <c r="Q1193" i="7"/>
  <c r="P1193" i="7"/>
  <c r="O1193" i="7"/>
  <c r="N1193" i="7"/>
  <c r="M1193" i="7"/>
  <c r="L1193" i="7"/>
  <c r="K1193" i="7"/>
  <c r="J1193" i="7"/>
  <c r="I1193" i="7"/>
  <c r="H1193" i="7"/>
  <c r="G1193" i="7"/>
  <c r="F1193" i="7"/>
  <c r="E1193" i="7"/>
  <c r="AT1192" i="7"/>
  <c r="AC1192" i="7"/>
  <c r="D1192" i="7" s="1"/>
  <c r="B1192" i="7"/>
  <c r="AC1191" i="7"/>
  <c r="D1191" i="7" s="1"/>
  <c r="N1191" i="7"/>
  <c r="B1191" i="7"/>
  <c r="AC1190" i="7"/>
  <c r="D1190" i="7" s="1"/>
  <c r="B1190" i="7"/>
  <c r="D1189" i="7"/>
  <c r="B1189" i="7"/>
  <c r="AE1188" i="7"/>
  <c r="AD1188" i="7"/>
  <c r="AB1188" i="7"/>
  <c r="AA1188" i="7"/>
  <c r="Z1188" i="7"/>
  <c r="Y1188" i="7"/>
  <c r="X1188" i="7"/>
  <c r="W1188" i="7"/>
  <c r="V1188" i="7"/>
  <c r="U1188" i="7"/>
  <c r="T1188" i="7"/>
  <c r="S1188" i="7"/>
  <c r="R1188" i="7"/>
  <c r="Q1188" i="7"/>
  <c r="P1188" i="7"/>
  <c r="O1188" i="7"/>
  <c r="N1188" i="7"/>
  <c r="M1188" i="7"/>
  <c r="L1188" i="7"/>
  <c r="K1188" i="7"/>
  <c r="J1188" i="7"/>
  <c r="I1188" i="7"/>
  <c r="H1188" i="7"/>
  <c r="G1188" i="7"/>
  <c r="F1188" i="7"/>
  <c r="E1188" i="7"/>
  <c r="AC1187" i="7"/>
  <c r="D1187" i="7" s="1"/>
  <c r="B1187" i="7"/>
  <c r="AC1186" i="7"/>
  <c r="D1186" i="7" s="1"/>
  <c r="B1186" i="7"/>
  <c r="AC1185" i="7"/>
  <c r="B1185" i="7"/>
  <c r="AE1184" i="7"/>
  <c r="AD1184" i="7"/>
  <c r="AB1184" i="7"/>
  <c r="AA1184" i="7"/>
  <c r="Z1184" i="7"/>
  <c r="Y1184" i="7"/>
  <c r="X1184" i="7"/>
  <c r="W1184" i="7"/>
  <c r="V1184" i="7"/>
  <c r="U1184" i="7"/>
  <c r="T1184" i="7"/>
  <c r="S1184" i="7"/>
  <c r="R1184" i="7"/>
  <c r="Q1184" i="7"/>
  <c r="P1184" i="7"/>
  <c r="O1184" i="7"/>
  <c r="N1184" i="7"/>
  <c r="M1184" i="7"/>
  <c r="L1184" i="7"/>
  <c r="K1184" i="7"/>
  <c r="J1184" i="7"/>
  <c r="I1184" i="7"/>
  <c r="H1184" i="7"/>
  <c r="G1184" i="7"/>
  <c r="F1184" i="7"/>
  <c r="E1184" i="7"/>
  <c r="AC1183" i="7"/>
  <c r="D1183" i="7" s="1"/>
  <c r="B1183" i="7"/>
  <c r="AC1182" i="7"/>
  <c r="D1182" i="7" s="1"/>
  <c r="B1182" i="7"/>
  <c r="AE1181" i="7"/>
  <c r="AD1181" i="7"/>
  <c r="AB1181" i="7"/>
  <c r="AA1181" i="7"/>
  <c r="Z1181" i="7"/>
  <c r="Y1181" i="7"/>
  <c r="X1181" i="7"/>
  <c r="W1181" i="7"/>
  <c r="V1181" i="7"/>
  <c r="U1181" i="7"/>
  <c r="T1181" i="7"/>
  <c r="S1181" i="7"/>
  <c r="R1181" i="7"/>
  <c r="Q1181" i="7"/>
  <c r="P1181" i="7"/>
  <c r="O1181" i="7"/>
  <c r="N1181" i="7"/>
  <c r="M1181" i="7"/>
  <c r="L1181" i="7"/>
  <c r="K1181" i="7"/>
  <c r="J1181" i="7"/>
  <c r="I1181" i="7"/>
  <c r="H1181" i="7"/>
  <c r="G1181" i="7"/>
  <c r="F1181" i="7"/>
  <c r="E1181" i="7"/>
  <c r="AC1180" i="7"/>
  <c r="D1180" i="7" s="1"/>
  <c r="B1180" i="7"/>
  <c r="AC1179" i="7"/>
  <c r="B1179" i="7"/>
  <c r="AE1178" i="7"/>
  <c r="AD1178" i="7"/>
  <c r="AB1178" i="7"/>
  <c r="AA1178" i="7"/>
  <c r="Z1178" i="7"/>
  <c r="Y1178" i="7"/>
  <c r="X1178" i="7"/>
  <c r="W1178" i="7"/>
  <c r="V1178" i="7"/>
  <c r="U1178" i="7"/>
  <c r="T1178" i="7"/>
  <c r="S1178" i="7"/>
  <c r="R1178" i="7"/>
  <c r="Q1178" i="7"/>
  <c r="P1178" i="7"/>
  <c r="O1178" i="7"/>
  <c r="N1178" i="7"/>
  <c r="M1178" i="7"/>
  <c r="L1178" i="7"/>
  <c r="K1178" i="7"/>
  <c r="J1178" i="7"/>
  <c r="I1178" i="7"/>
  <c r="H1178" i="7"/>
  <c r="G1178" i="7"/>
  <c r="F1178" i="7"/>
  <c r="E1178" i="7"/>
  <c r="AC1177" i="7"/>
  <c r="D1177" i="7" s="1"/>
  <c r="B1177" i="7"/>
  <c r="AE1176" i="7"/>
  <c r="AD1176" i="7"/>
  <c r="AC1176" i="7"/>
  <c r="AB1176" i="7"/>
  <c r="AA1176" i="7"/>
  <c r="Z1176" i="7"/>
  <c r="Y1176" i="7"/>
  <c r="X1176" i="7"/>
  <c r="W1176" i="7"/>
  <c r="V1176" i="7"/>
  <c r="U1176" i="7"/>
  <c r="T1176" i="7"/>
  <c r="S1176" i="7"/>
  <c r="R1176" i="7"/>
  <c r="Q1176" i="7"/>
  <c r="P1176" i="7"/>
  <c r="O1176" i="7"/>
  <c r="N1176" i="7"/>
  <c r="M1176" i="7"/>
  <c r="L1176" i="7"/>
  <c r="K1176" i="7"/>
  <c r="J1176" i="7"/>
  <c r="I1176" i="7"/>
  <c r="H1176" i="7"/>
  <c r="G1176" i="7"/>
  <c r="F1176" i="7"/>
  <c r="E1176" i="7"/>
  <c r="D1176" i="7"/>
  <c r="AC1175" i="7"/>
  <c r="D1175" i="7" s="1"/>
  <c r="D1174" i="7" s="1"/>
  <c r="B1175" i="7"/>
  <c r="AE1174" i="7"/>
  <c r="AD1174" i="7"/>
  <c r="AB1174" i="7"/>
  <c r="AA1174" i="7"/>
  <c r="Z1174" i="7"/>
  <c r="Y1174" i="7"/>
  <c r="X1174" i="7"/>
  <c r="W1174" i="7"/>
  <c r="V1174" i="7"/>
  <c r="U1174" i="7"/>
  <c r="T1174" i="7"/>
  <c r="S1174" i="7"/>
  <c r="R1174" i="7"/>
  <c r="Q1174" i="7"/>
  <c r="P1174" i="7"/>
  <c r="O1174" i="7"/>
  <c r="N1174" i="7"/>
  <c r="M1174" i="7"/>
  <c r="L1174" i="7"/>
  <c r="K1174" i="7"/>
  <c r="J1174" i="7"/>
  <c r="I1174" i="7"/>
  <c r="H1174" i="7"/>
  <c r="G1174" i="7"/>
  <c r="F1174" i="7"/>
  <c r="E1174" i="7"/>
  <c r="AC1173" i="7"/>
  <c r="D1173" i="7" s="1"/>
  <c r="D1172" i="7" s="1"/>
  <c r="B1173" i="7"/>
  <c r="AE1172" i="7"/>
  <c r="AD1172" i="7"/>
  <c r="AB1172" i="7"/>
  <c r="AA1172" i="7"/>
  <c r="Z1172" i="7"/>
  <c r="Y1172" i="7"/>
  <c r="X1172" i="7"/>
  <c r="W1172" i="7"/>
  <c r="V1172" i="7"/>
  <c r="U1172" i="7"/>
  <c r="T1172" i="7"/>
  <c r="S1172" i="7"/>
  <c r="R1172" i="7"/>
  <c r="Q1172" i="7"/>
  <c r="P1172" i="7"/>
  <c r="O1172" i="7"/>
  <c r="N1172" i="7"/>
  <c r="M1172" i="7"/>
  <c r="L1172" i="7"/>
  <c r="K1172" i="7"/>
  <c r="J1172" i="7"/>
  <c r="I1172" i="7"/>
  <c r="H1172" i="7"/>
  <c r="G1172" i="7"/>
  <c r="F1172" i="7"/>
  <c r="E1172" i="7"/>
  <c r="AC1171" i="7"/>
  <c r="D1171" i="7" s="1"/>
  <c r="B1171" i="7"/>
  <c r="AC1170" i="7"/>
  <c r="D1170" i="7" s="1"/>
  <c r="B1170" i="7"/>
  <c r="AC1169" i="7"/>
  <c r="B1169" i="7"/>
  <c r="AE1168" i="7"/>
  <c r="AD1168" i="7"/>
  <c r="AB1168" i="7"/>
  <c r="AA1168" i="7"/>
  <c r="Z1168" i="7"/>
  <c r="Y1168" i="7"/>
  <c r="X1168" i="7"/>
  <c r="W1168" i="7"/>
  <c r="V1168" i="7"/>
  <c r="U1168" i="7"/>
  <c r="T1168" i="7"/>
  <c r="S1168" i="7"/>
  <c r="R1168" i="7"/>
  <c r="Q1168" i="7"/>
  <c r="P1168" i="7"/>
  <c r="O1168" i="7"/>
  <c r="N1168" i="7"/>
  <c r="M1168" i="7"/>
  <c r="L1168" i="7"/>
  <c r="K1168" i="7"/>
  <c r="J1168" i="7"/>
  <c r="I1168" i="7"/>
  <c r="H1168" i="7"/>
  <c r="G1168" i="7"/>
  <c r="F1168" i="7"/>
  <c r="E1168" i="7"/>
  <c r="AC1167" i="7"/>
  <c r="B1167" i="7"/>
  <c r="AE1166" i="7"/>
  <c r="AD1166" i="7"/>
  <c r="AB1166" i="7"/>
  <c r="AA1166" i="7"/>
  <c r="Z1166" i="7"/>
  <c r="Y1166" i="7"/>
  <c r="X1166" i="7"/>
  <c r="W1166" i="7"/>
  <c r="V1166" i="7"/>
  <c r="U1166" i="7"/>
  <c r="T1166" i="7"/>
  <c r="S1166" i="7"/>
  <c r="R1166" i="7"/>
  <c r="Q1166" i="7"/>
  <c r="P1166" i="7"/>
  <c r="O1166" i="7"/>
  <c r="N1166" i="7"/>
  <c r="M1166" i="7"/>
  <c r="L1166" i="7"/>
  <c r="K1166" i="7"/>
  <c r="J1166" i="7"/>
  <c r="I1166" i="7"/>
  <c r="H1166" i="7"/>
  <c r="G1166" i="7"/>
  <c r="F1166" i="7"/>
  <c r="E1166" i="7"/>
  <c r="AC1165" i="7"/>
  <c r="D1165" i="7" s="1"/>
  <c r="D1164" i="7" s="1"/>
  <c r="B1165" i="7"/>
  <c r="AE1164" i="7"/>
  <c r="AD1164" i="7"/>
  <c r="AC1164" i="7"/>
  <c r="AB1164" i="7"/>
  <c r="AA1164" i="7"/>
  <c r="Z1164" i="7"/>
  <c r="Y1164" i="7"/>
  <c r="X1164" i="7"/>
  <c r="W1164" i="7"/>
  <c r="V1164" i="7"/>
  <c r="U1164" i="7"/>
  <c r="T1164" i="7"/>
  <c r="S1164" i="7"/>
  <c r="R1164" i="7"/>
  <c r="Q1164" i="7"/>
  <c r="P1164" i="7"/>
  <c r="O1164" i="7"/>
  <c r="N1164" i="7"/>
  <c r="M1164" i="7"/>
  <c r="L1164" i="7"/>
  <c r="K1164" i="7"/>
  <c r="J1164" i="7"/>
  <c r="I1164" i="7"/>
  <c r="H1164" i="7"/>
  <c r="G1164" i="7"/>
  <c r="F1164" i="7"/>
  <c r="E1164" i="7"/>
  <c r="AC1163" i="7"/>
  <c r="D1163" i="7" s="1"/>
  <c r="D1162" i="7" s="1"/>
  <c r="B1163" i="7"/>
  <c r="AE1162" i="7"/>
  <c r="AD1162" i="7"/>
  <c r="AB1162" i="7"/>
  <c r="AA1162" i="7"/>
  <c r="Z1162" i="7"/>
  <c r="Y1162" i="7"/>
  <c r="X1162" i="7"/>
  <c r="W1162" i="7"/>
  <c r="V1162" i="7"/>
  <c r="U1162" i="7"/>
  <c r="T1162" i="7"/>
  <c r="S1162" i="7"/>
  <c r="R1162" i="7"/>
  <c r="Q1162" i="7"/>
  <c r="P1162" i="7"/>
  <c r="O1162" i="7"/>
  <c r="N1162" i="7"/>
  <c r="M1162" i="7"/>
  <c r="L1162" i="7"/>
  <c r="K1162" i="7"/>
  <c r="J1162" i="7"/>
  <c r="I1162" i="7"/>
  <c r="H1162" i="7"/>
  <c r="G1162" i="7"/>
  <c r="F1162" i="7"/>
  <c r="E1162" i="7"/>
  <c r="AC1161" i="7"/>
  <c r="D1161" i="7" s="1"/>
  <c r="B1161" i="7"/>
  <c r="AC1160" i="7"/>
  <c r="D1160" i="7" s="1"/>
  <c r="B1160" i="7"/>
  <c r="AC1159" i="7"/>
  <c r="B1159" i="7"/>
  <c r="AE1158" i="7"/>
  <c r="AD1158" i="7"/>
  <c r="AB1158" i="7"/>
  <c r="AA1158" i="7"/>
  <c r="Z1158" i="7"/>
  <c r="Y1158" i="7"/>
  <c r="X1158" i="7"/>
  <c r="W1158" i="7"/>
  <c r="V1158" i="7"/>
  <c r="U1158" i="7"/>
  <c r="T1158" i="7"/>
  <c r="S1158" i="7"/>
  <c r="R1158" i="7"/>
  <c r="Q1158" i="7"/>
  <c r="P1158" i="7"/>
  <c r="O1158" i="7"/>
  <c r="N1158" i="7"/>
  <c r="M1158" i="7"/>
  <c r="L1158" i="7"/>
  <c r="K1158" i="7"/>
  <c r="J1158" i="7"/>
  <c r="I1158" i="7"/>
  <c r="H1158" i="7"/>
  <c r="G1158" i="7"/>
  <c r="F1158" i="7"/>
  <c r="E1158" i="7"/>
  <c r="AC1157" i="7"/>
  <c r="B1157" i="7"/>
  <c r="AE1156" i="7"/>
  <c r="AD1156" i="7"/>
  <c r="AB1156" i="7"/>
  <c r="AA1156" i="7"/>
  <c r="Z1156" i="7"/>
  <c r="Y1156" i="7"/>
  <c r="X1156" i="7"/>
  <c r="W1156" i="7"/>
  <c r="V1156" i="7"/>
  <c r="U1156" i="7"/>
  <c r="T1156" i="7"/>
  <c r="S1156" i="7"/>
  <c r="R1156" i="7"/>
  <c r="Q1156" i="7"/>
  <c r="P1156" i="7"/>
  <c r="O1156" i="7"/>
  <c r="N1156" i="7"/>
  <c r="M1156" i="7"/>
  <c r="L1156" i="7"/>
  <c r="K1156" i="7"/>
  <c r="J1156" i="7"/>
  <c r="I1156" i="7"/>
  <c r="H1156" i="7"/>
  <c r="G1156" i="7"/>
  <c r="F1156" i="7"/>
  <c r="E1156" i="7"/>
  <c r="AC1155" i="7"/>
  <c r="D1155" i="7" s="1"/>
  <c r="D1154" i="7" s="1"/>
  <c r="B1155" i="7"/>
  <c r="AE1154" i="7"/>
  <c r="AD1154" i="7"/>
  <c r="AC1154" i="7"/>
  <c r="AB1154" i="7"/>
  <c r="AA1154" i="7"/>
  <c r="Z1154" i="7"/>
  <c r="Y1154" i="7"/>
  <c r="X1154" i="7"/>
  <c r="W1154" i="7"/>
  <c r="V1154" i="7"/>
  <c r="U1154" i="7"/>
  <c r="T1154" i="7"/>
  <c r="S1154" i="7"/>
  <c r="R1154" i="7"/>
  <c r="Q1154" i="7"/>
  <c r="P1154" i="7"/>
  <c r="O1154" i="7"/>
  <c r="N1154" i="7"/>
  <c r="M1154" i="7"/>
  <c r="L1154" i="7"/>
  <c r="K1154" i="7"/>
  <c r="J1154" i="7"/>
  <c r="I1154" i="7"/>
  <c r="H1154" i="7"/>
  <c r="G1154" i="7"/>
  <c r="F1154" i="7"/>
  <c r="E1154" i="7"/>
  <c r="AC1153" i="7"/>
  <c r="D1153" i="7" s="1"/>
  <c r="D1152" i="7" s="1"/>
  <c r="B1153" i="7"/>
  <c r="AE1152" i="7"/>
  <c r="AD1152" i="7"/>
  <c r="AB1152" i="7"/>
  <c r="AA1152" i="7"/>
  <c r="Z1152" i="7"/>
  <c r="Y1152" i="7"/>
  <c r="X1152" i="7"/>
  <c r="W1152" i="7"/>
  <c r="V1152" i="7"/>
  <c r="U1152" i="7"/>
  <c r="T1152" i="7"/>
  <c r="S1152" i="7"/>
  <c r="R1152" i="7"/>
  <c r="Q1152" i="7"/>
  <c r="P1152" i="7"/>
  <c r="O1152" i="7"/>
  <c r="N1152" i="7"/>
  <c r="M1152" i="7"/>
  <c r="L1152" i="7"/>
  <c r="K1152" i="7"/>
  <c r="J1152" i="7"/>
  <c r="I1152" i="7"/>
  <c r="H1152" i="7"/>
  <c r="G1152" i="7"/>
  <c r="F1152" i="7"/>
  <c r="E1152" i="7"/>
  <c r="AC1151" i="7"/>
  <c r="AC1150" i="7" s="1"/>
  <c r="B1151" i="7"/>
  <c r="AE1150" i="7"/>
  <c r="AD1150" i="7"/>
  <c r="AB1150" i="7"/>
  <c r="AA1150" i="7"/>
  <c r="Z1150" i="7"/>
  <c r="Y1150" i="7"/>
  <c r="X1150" i="7"/>
  <c r="W1150" i="7"/>
  <c r="V1150" i="7"/>
  <c r="U1150" i="7"/>
  <c r="T1150" i="7"/>
  <c r="S1150" i="7"/>
  <c r="R1150" i="7"/>
  <c r="Q1150" i="7"/>
  <c r="P1150" i="7"/>
  <c r="O1150" i="7"/>
  <c r="N1150" i="7"/>
  <c r="M1150" i="7"/>
  <c r="L1150" i="7"/>
  <c r="K1150" i="7"/>
  <c r="J1150" i="7"/>
  <c r="I1150" i="7"/>
  <c r="H1150" i="7"/>
  <c r="G1150" i="7"/>
  <c r="F1150" i="7"/>
  <c r="E1150" i="7"/>
  <c r="AC1149" i="7"/>
  <c r="B1149" i="7"/>
  <c r="AE1148" i="7"/>
  <c r="AD1148" i="7"/>
  <c r="AB1148" i="7"/>
  <c r="AA1148" i="7"/>
  <c r="Z1148" i="7"/>
  <c r="Y1148" i="7"/>
  <c r="X1148" i="7"/>
  <c r="W1148" i="7"/>
  <c r="V1148" i="7"/>
  <c r="U1148" i="7"/>
  <c r="T1148" i="7"/>
  <c r="S1148" i="7"/>
  <c r="R1148" i="7"/>
  <c r="Q1148" i="7"/>
  <c r="P1148" i="7"/>
  <c r="O1148" i="7"/>
  <c r="N1148" i="7"/>
  <c r="M1148" i="7"/>
  <c r="L1148" i="7"/>
  <c r="K1148" i="7"/>
  <c r="J1148" i="7"/>
  <c r="I1148" i="7"/>
  <c r="H1148" i="7"/>
  <c r="G1148" i="7"/>
  <c r="F1148" i="7"/>
  <c r="E1148" i="7"/>
  <c r="AC1147" i="7"/>
  <c r="D1147" i="7" s="1"/>
  <c r="B1147" i="7"/>
  <c r="AE1146" i="7"/>
  <c r="AD1146" i="7"/>
  <c r="AB1146" i="7"/>
  <c r="AA1146" i="7"/>
  <c r="Z1146" i="7"/>
  <c r="Y1146" i="7"/>
  <c r="X1146" i="7"/>
  <c r="W1146" i="7"/>
  <c r="V1146" i="7"/>
  <c r="U1146" i="7"/>
  <c r="T1146" i="7"/>
  <c r="S1146" i="7"/>
  <c r="R1146" i="7"/>
  <c r="Q1146" i="7"/>
  <c r="P1146" i="7"/>
  <c r="O1146" i="7"/>
  <c r="N1146" i="7"/>
  <c r="M1146" i="7"/>
  <c r="L1146" i="7"/>
  <c r="K1146" i="7"/>
  <c r="J1146" i="7"/>
  <c r="I1146" i="7"/>
  <c r="H1146" i="7"/>
  <c r="G1146" i="7"/>
  <c r="F1146" i="7"/>
  <c r="E1146" i="7"/>
  <c r="D1146" i="7"/>
  <c r="AC1145" i="7"/>
  <c r="D1145" i="7"/>
  <c r="B1145" i="7"/>
  <c r="AC1144" i="7"/>
  <c r="D1144" i="7" s="1"/>
  <c r="B1144" i="7"/>
  <c r="AC1143" i="7"/>
  <c r="D1143" i="7" s="1"/>
  <c r="B1143" i="7"/>
  <c r="AE1142" i="7"/>
  <c r="AD1142" i="7"/>
  <c r="AB1142" i="7"/>
  <c r="AA1142" i="7"/>
  <c r="Z1142" i="7"/>
  <c r="Y1142" i="7"/>
  <c r="X1142" i="7"/>
  <c r="W1142" i="7"/>
  <c r="V1142" i="7"/>
  <c r="U1142" i="7"/>
  <c r="T1142" i="7"/>
  <c r="S1142" i="7"/>
  <c r="R1142" i="7"/>
  <c r="Q1142" i="7"/>
  <c r="P1142" i="7"/>
  <c r="O1142" i="7"/>
  <c r="N1142" i="7"/>
  <c r="M1142" i="7"/>
  <c r="L1142" i="7"/>
  <c r="K1142" i="7"/>
  <c r="J1142" i="7"/>
  <c r="I1142" i="7"/>
  <c r="H1142" i="7"/>
  <c r="G1142" i="7"/>
  <c r="F1142" i="7"/>
  <c r="E1142" i="7"/>
  <c r="AC1141" i="7"/>
  <c r="AC1140" i="7" s="1"/>
  <c r="B1141" i="7"/>
  <c r="AE1140" i="7"/>
  <c r="AD1140" i="7"/>
  <c r="AB1140" i="7"/>
  <c r="AA1140" i="7"/>
  <c r="Z1140" i="7"/>
  <c r="Y1140" i="7"/>
  <c r="X1140" i="7"/>
  <c r="W1140" i="7"/>
  <c r="V1140" i="7"/>
  <c r="U1140" i="7"/>
  <c r="T1140" i="7"/>
  <c r="S1140" i="7"/>
  <c r="R1140" i="7"/>
  <c r="Q1140" i="7"/>
  <c r="P1140" i="7"/>
  <c r="O1140" i="7"/>
  <c r="N1140" i="7"/>
  <c r="M1140" i="7"/>
  <c r="L1140" i="7"/>
  <c r="K1140" i="7"/>
  <c r="J1140" i="7"/>
  <c r="I1140" i="7"/>
  <c r="H1140" i="7"/>
  <c r="G1140" i="7"/>
  <c r="F1140" i="7"/>
  <c r="E1140" i="7"/>
  <c r="AC1139" i="7"/>
  <c r="D1139" i="7" s="1"/>
  <c r="B1139" i="7"/>
  <c r="AC1138" i="7"/>
  <c r="B1138" i="7"/>
  <c r="AE1137" i="7"/>
  <c r="AD1137" i="7"/>
  <c r="AB1137" i="7"/>
  <c r="AA1137" i="7"/>
  <c r="Z1137" i="7"/>
  <c r="Y1137" i="7"/>
  <c r="X1137" i="7"/>
  <c r="W1137" i="7"/>
  <c r="V1137" i="7"/>
  <c r="U1137" i="7"/>
  <c r="T1137" i="7"/>
  <c r="S1137" i="7"/>
  <c r="R1137" i="7"/>
  <c r="Q1137" i="7"/>
  <c r="P1137" i="7"/>
  <c r="O1137" i="7"/>
  <c r="N1137" i="7"/>
  <c r="M1137" i="7"/>
  <c r="L1137" i="7"/>
  <c r="K1137" i="7"/>
  <c r="J1137" i="7"/>
  <c r="I1137" i="7"/>
  <c r="H1137" i="7"/>
  <c r="G1137" i="7"/>
  <c r="F1137" i="7"/>
  <c r="E1137" i="7"/>
  <c r="AC1136" i="7"/>
  <c r="D1136" i="7"/>
  <c r="B1136" i="7"/>
  <c r="AC1135" i="7"/>
  <c r="D1135" i="7" s="1"/>
  <c r="B1135" i="7"/>
  <c r="AC1134" i="7"/>
  <c r="B1134" i="7"/>
  <c r="AE1133" i="7"/>
  <c r="AD1133" i="7"/>
  <c r="AB1133" i="7"/>
  <c r="AA1133" i="7"/>
  <c r="Z1133" i="7"/>
  <c r="Y1133" i="7"/>
  <c r="X1133" i="7"/>
  <c r="W1133" i="7"/>
  <c r="V1133" i="7"/>
  <c r="U1133" i="7"/>
  <c r="T1133" i="7"/>
  <c r="S1133" i="7"/>
  <c r="R1133" i="7"/>
  <c r="Q1133" i="7"/>
  <c r="P1133" i="7"/>
  <c r="O1133" i="7"/>
  <c r="N1133" i="7"/>
  <c r="M1133" i="7"/>
  <c r="L1133" i="7"/>
  <c r="K1133" i="7"/>
  <c r="J1133" i="7"/>
  <c r="I1133" i="7"/>
  <c r="H1133" i="7"/>
  <c r="G1133" i="7"/>
  <c r="F1133" i="7"/>
  <c r="E1133" i="7"/>
  <c r="AC1132" i="7"/>
  <c r="D1132" i="7" s="1"/>
  <c r="B1132" i="7"/>
  <c r="AC1131" i="7"/>
  <c r="D1131" i="7"/>
  <c r="B1131" i="7"/>
  <c r="AE1130" i="7"/>
  <c r="AD1130" i="7"/>
  <c r="AC1130" i="7"/>
  <c r="AB1130" i="7"/>
  <c r="AA1130" i="7"/>
  <c r="Z1130" i="7"/>
  <c r="Y1130" i="7"/>
  <c r="X1130" i="7"/>
  <c r="W1130" i="7"/>
  <c r="V1130" i="7"/>
  <c r="U1130" i="7"/>
  <c r="T1130" i="7"/>
  <c r="S1130" i="7"/>
  <c r="R1130" i="7"/>
  <c r="Q1130" i="7"/>
  <c r="P1130" i="7"/>
  <c r="O1130" i="7"/>
  <c r="N1130" i="7"/>
  <c r="M1130" i="7"/>
  <c r="L1130" i="7"/>
  <c r="K1130" i="7"/>
  <c r="J1130" i="7"/>
  <c r="I1130" i="7"/>
  <c r="H1130" i="7"/>
  <c r="G1130" i="7"/>
  <c r="F1130" i="7"/>
  <c r="E1130" i="7"/>
  <c r="AC1129" i="7"/>
  <c r="D1129" i="7" s="1"/>
  <c r="U1129" i="7"/>
  <c r="B1129" i="7"/>
  <c r="AC1128" i="7"/>
  <c r="D1128" i="7" s="1"/>
  <c r="N1128" i="7"/>
  <c r="B1128" i="7"/>
  <c r="AC1127" i="7"/>
  <c r="D1127" i="7" s="1"/>
  <c r="N1127" i="7"/>
  <c r="B1127" i="7"/>
  <c r="AC1126" i="7"/>
  <c r="N1126" i="7"/>
  <c r="D1126" i="7"/>
  <c r="B1126" i="7"/>
  <c r="AC1125" i="7"/>
  <c r="D1125" i="7" s="1"/>
  <c r="B1125" i="7"/>
  <c r="AC1124" i="7"/>
  <c r="D1124" i="7" s="1"/>
  <c r="N1124" i="7"/>
  <c r="B1124" i="7"/>
  <c r="AE1123" i="7"/>
  <c r="AD1123" i="7"/>
  <c r="AB1123" i="7"/>
  <c r="AA1123" i="7"/>
  <c r="Z1123" i="7"/>
  <c r="Y1123" i="7"/>
  <c r="X1123" i="7"/>
  <c r="W1123" i="7"/>
  <c r="V1123" i="7"/>
  <c r="U1123" i="7"/>
  <c r="T1123" i="7"/>
  <c r="S1123" i="7"/>
  <c r="R1123" i="7"/>
  <c r="Q1123" i="7"/>
  <c r="P1123" i="7"/>
  <c r="O1123" i="7"/>
  <c r="N1123" i="7"/>
  <c r="M1123" i="7"/>
  <c r="L1123" i="7"/>
  <c r="K1123" i="7"/>
  <c r="J1123" i="7"/>
  <c r="I1123" i="7"/>
  <c r="H1123" i="7"/>
  <c r="G1123" i="7"/>
  <c r="F1123" i="7"/>
  <c r="E1123" i="7"/>
  <c r="AC1122" i="7"/>
  <c r="D1122" i="7" s="1"/>
  <c r="D1121" i="7" s="1"/>
  <c r="B1122" i="7"/>
  <c r="AE1121" i="7"/>
  <c r="AD1121" i="7"/>
  <c r="AC1121" i="7"/>
  <c r="AB1121" i="7"/>
  <c r="AA1121" i="7"/>
  <c r="Z1121" i="7"/>
  <c r="Y1121" i="7"/>
  <c r="X1121" i="7"/>
  <c r="W1121" i="7"/>
  <c r="V1121" i="7"/>
  <c r="U1121" i="7"/>
  <c r="T1121" i="7"/>
  <c r="S1121" i="7"/>
  <c r="R1121" i="7"/>
  <c r="Q1121" i="7"/>
  <c r="P1121" i="7"/>
  <c r="O1121" i="7"/>
  <c r="N1121" i="7"/>
  <c r="M1121" i="7"/>
  <c r="L1121" i="7"/>
  <c r="K1121" i="7"/>
  <c r="J1121" i="7"/>
  <c r="I1121" i="7"/>
  <c r="H1121" i="7"/>
  <c r="G1121" i="7"/>
  <c r="F1121" i="7"/>
  <c r="E1121" i="7"/>
  <c r="AC1120" i="7"/>
  <c r="B1120" i="7"/>
  <c r="AE1119" i="7"/>
  <c r="AD1119" i="7"/>
  <c r="AB1119" i="7"/>
  <c r="AA1119" i="7"/>
  <c r="Z1119" i="7"/>
  <c r="Y1119" i="7"/>
  <c r="X1119" i="7"/>
  <c r="W1119" i="7"/>
  <c r="V1119" i="7"/>
  <c r="U1119" i="7"/>
  <c r="T1119" i="7"/>
  <c r="S1119" i="7"/>
  <c r="R1119" i="7"/>
  <c r="Q1119" i="7"/>
  <c r="P1119" i="7"/>
  <c r="O1119" i="7"/>
  <c r="N1119" i="7"/>
  <c r="M1119" i="7"/>
  <c r="L1119" i="7"/>
  <c r="K1119" i="7"/>
  <c r="J1119" i="7"/>
  <c r="I1119" i="7"/>
  <c r="H1119" i="7"/>
  <c r="G1119" i="7"/>
  <c r="F1119" i="7"/>
  <c r="E1119" i="7"/>
  <c r="AC1118" i="7"/>
  <c r="B1118" i="7"/>
  <c r="AE1117" i="7"/>
  <c r="AD1117" i="7"/>
  <c r="AB1117" i="7"/>
  <c r="AA1117" i="7"/>
  <c r="Z1117" i="7"/>
  <c r="Y1117" i="7"/>
  <c r="X1117" i="7"/>
  <c r="W1117" i="7"/>
  <c r="V1117" i="7"/>
  <c r="U1117" i="7"/>
  <c r="T1117" i="7"/>
  <c r="S1117" i="7"/>
  <c r="R1117" i="7"/>
  <c r="Q1117" i="7"/>
  <c r="P1117" i="7"/>
  <c r="O1117" i="7"/>
  <c r="N1117" i="7"/>
  <c r="M1117" i="7"/>
  <c r="L1117" i="7"/>
  <c r="K1117" i="7"/>
  <c r="J1117" i="7"/>
  <c r="I1117" i="7"/>
  <c r="H1117" i="7"/>
  <c r="G1117" i="7"/>
  <c r="F1117" i="7"/>
  <c r="E1117" i="7"/>
  <c r="AC1116" i="7"/>
  <c r="D1116" i="7" s="1"/>
  <c r="B1116" i="7"/>
  <c r="AC1115" i="7"/>
  <c r="B1115" i="7"/>
  <c r="AE1114" i="7"/>
  <c r="AD1114" i="7"/>
  <c r="AB1114" i="7"/>
  <c r="AA1114" i="7"/>
  <c r="Z1114" i="7"/>
  <c r="Y1114" i="7"/>
  <c r="X1114" i="7"/>
  <c r="W1114" i="7"/>
  <c r="V1114" i="7"/>
  <c r="U1114" i="7"/>
  <c r="T1114" i="7"/>
  <c r="S1114" i="7"/>
  <c r="R1114" i="7"/>
  <c r="Q1114" i="7"/>
  <c r="P1114" i="7"/>
  <c r="O1114" i="7"/>
  <c r="N1114" i="7"/>
  <c r="M1114" i="7"/>
  <c r="L1114" i="7"/>
  <c r="K1114" i="7"/>
  <c r="J1114" i="7"/>
  <c r="I1114" i="7"/>
  <c r="H1114" i="7"/>
  <c r="G1114" i="7"/>
  <c r="F1114" i="7"/>
  <c r="E1114" i="7"/>
  <c r="AC1113" i="7"/>
  <c r="D1113" i="7" s="1"/>
  <c r="D1112" i="7" s="1"/>
  <c r="B1113" i="7"/>
  <c r="AE1112" i="7"/>
  <c r="AD1112" i="7"/>
  <c r="AB1112" i="7"/>
  <c r="AA1112" i="7"/>
  <c r="Z1112" i="7"/>
  <c r="Y1112" i="7"/>
  <c r="X1112" i="7"/>
  <c r="W1112" i="7"/>
  <c r="V1112" i="7"/>
  <c r="U1112" i="7"/>
  <c r="T1112" i="7"/>
  <c r="S1112" i="7"/>
  <c r="R1112" i="7"/>
  <c r="Q1112" i="7"/>
  <c r="P1112" i="7"/>
  <c r="O1112" i="7"/>
  <c r="N1112" i="7"/>
  <c r="M1112" i="7"/>
  <c r="L1112" i="7"/>
  <c r="K1112" i="7"/>
  <c r="J1112" i="7"/>
  <c r="I1112" i="7"/>
  <c r="H1112" i="7"/>
  <c r="G1112" i="7"/>
  <c r="F1112" i="7"/>
  <c r="E1112" i="7"/>
  <c r="AC1111" i="7"/>
  <c r="D1111" i="7"/>
  <c r="D1110" i="7" s="1"/>
  <c r="B1111" i="7"/>
  <c r="AE1110" i="7"/>
  <c r="AD1110" i="7"/>
  <c r="AC1110" i="7"/>
  <c r="AB1110" i="7"/>
  <c r="AA1110" i="7"/>
  <c r="Z1110" i="7"/>
  <c r="Y1110" i="7"/>
  <c r="X1110" i="7"/>
  <c r="W1110" i="7"/>
  <c r="V1110" i="7"/>
  <c r="U1110" i="7"/>
  <c r="T1110" i="7"/>
  <c r="S1110" i="7"/>
  <c r="R1110" i="7"/>
  <c r="Q1110" i="7"/>
  <c r="P1110" i="7"/>
  <c r="O1110" i="7"/>
  <c r="N1110" i="7"/>
  <c r="M1110" i="7"/>
  <c r="L1110" i="7"/>
  <c r="K1110" i="7"/>
  <c r="J1110" i="7"/>
  <c r="I1110" i="7"/>
  <c r="H1110" i="7"/>
  <c r="G1110" i="7"/>
  <c r="F1110" i="7"/>
  <c r="E1110" i="7"/>
  <c r="AC1109" i="7"/>
  <c r="AC1108" i="7" s="1"/>
  <c r="B1109" i="7"/>
  <c r="AE1108" i="7"/>
  <c r="AD1108" i="7"/>
  <c r="AB1108" i="7"/>
  <c r="AA1108" i="7"/>
  <c r="Z1108" i="7"/>
  <c r="Y1108" i="7"/>
  <c r="X1108" i="7"/>
  <c r="W1108" i="7"/>
  <c r="V1108" i="7"/>
  <c r="U1108" i="7"/>
  <c r="T1108" i="7"/>
  <c r="S1108" i="7"/>
  <c r="R1108" i="7"/>
  <c r="Q1108" i="7"/>
  <c r="P1108" i="7"/>
  <c r="O1108" i="7"/>
  <c r="N1108" i="7"/>
  <c r="M1108" i="7"/>
  <c r="L1108" i="7"/>
  <c r="K1108" i="7"/>
  <c r="J1108" i="7"/>
  <c r="I1108" i="7"/>
  <c r="H1108" i="7"/>
  <c r="G1108" i="7"/>
  <c r="F1108" i="7"/>
  <c r="E1108" i="7"/>
  <c r="AC1107" i="7"/>
  <c r="B1107" i="7"/>
  <c r="AE1106" i="7"/>
  <c r="AD1106" i="7"/>
  <c r="AB1106" i="7"/>
  <c r="AA1106" i="7"/>
  <c r="Z1106" i="7"/>
  <c r="Y1106" i="7"/>
  <c r="X1106" i="7"/>
  <c r="W1106" i="7"/>
  <c r="V1106" i="7"/>
  <c r="U1106" i="7"/>
  <c r="T1106" i="7"/>
  <c r="S1106" i="7"/>
  <c r="R1106" i="7"/>
  <c r="Q1106" i="7"/>
  <c r="P1106" i="7"/>
  <c r="O1106" i="7"/>
  <c r="N1106" i="7"/>
  <c r="M1106" i="7"/>
  <c r="L1106" i="7"/>
  <c r="K1106" i="7"/>
  <c r="J1106" i="7"/>
  <c r="I1106" i="7"/>
  <c r="H1106" i="7"/>
  <c r="G1106" i="7"/>
  <c r="F1106" i="7"/>
  <c r="E1106" i="7"/>
  <c r="AC1105" i="7"/>
  <c r="D1105" i="7" s="1"/>
  <c r="B1105" i="7"/>
  <c r="AC1104" i="7"/>
  <c r="D1104" i="7"/>
  <c r="B1104" i="7"/>
  <c r="AE1103" i="7"/>
  <c r="AD1103" i="7"/>
  <c r="AB1103" i="7"/>
  <c r="AA1103" i="7"/>
  <c r="Z1103" i="7"/>
  <c r="Y1103" i="7"/>
  <c r="X1103" i="7"/>
  <c r="W1103" i="7"/>
  <c r="V1103" i="7"/>
  <c r="U1103" i="7"/>
  <c r="T1103" i="7"/>
  <c r="S1103" i="7"/>
  <c r="R1103" i="7"/>
  <c r="Q1103" i="7"/>
  <c r="P1103" i="7"/>
  <c r="O1103" i="7"/>
  <c r="N1103" i="7"/>
  <c r="M1103" i="7"/>
  <c r="L1103" i="7"/>
  <c r="K1103" i="7"/>
  <c r="J1103" i="7"/>
  <c r="I1103" i="7"/>
  <c r="H1103" i="7"/>
  <c r="G1103" i="7"/>
  <c r="F1103" i="7"/>
  <c r="E1103" i="7"/>
  <c r="D1102" i="7"/>
  <c r="B1102" i="7"/>
  <c r="AC1101" i="7"/>
  <c r="D1101" i="7" s="1"/>
  <c r="B1101" i="7"/>
  <c r="AT1100" i="7"/>
  <c r="AC1100" i="7"/>
  <c r="D1100" i="7" s="1"/>
  <c r="B1100" i="7"/>
  <c r="AC1099" i="7"/>
  <c r="D1099" i="7" s="1"/>
  <c r="R1099" i="7"/>
  <c r="B1099" i="7"/>
  <c r="AC1098" i="7"/>
  <c r="B1098" i="7"/>
  <c r="AC1097" i="7"/>
  <c r="D1097" i="7" s="1"/>
  <c r="B1097" i="7"/>
  <c r="AC1096" i="7"/>
  <c r="D1096" i="7" s="1"/>
  <c r="B1096" i="7"/>
  <c r="AE1095" i="7"/>
  <c r="AD1095" i="7"/>
  <c r="AB1095" i="7"/>
  <c r="AA1095" i="7"/>
  <c r="Z1095" i="7"/>
  <c r="Y1095" i="7"/>
  <c r="X1095" i="7"/>
  <c r="W1095" i="7"/>
  <c r="V1095" i="7"/>
  <c r="U1095" i="7"/>
  <c r="T1095" i="7"/>
  <c r="S1095" i="7"/>
  <c r="R1095" i="7"/>
  <c r="Q1095" i="7"/>
  <c r="P1095" i="7"/>
  <c r="O1095" i="7"/>
  <c r="N1095" i="7"/>
  <c r="M1095" i="7"/>
  <c r="L1095" i="7"/>
  <c r="K1095" i="7"/>
  <c r="J1095" i="7"/>
  <c r="I1095" i="7"/>
  <c r="H1095" i="7"/>
  <c r="G1095" i="7"/>
  <c r="F1095" i="7"/>
  <c r="E1095" i="7"/>
  <c r="AC1094" i="7"/>
  <c r="B1094" i="7"/>
  <c r="AE1093" i="7"/>
  <c r="AD1093" i="7"/>
  <c r="AB1093" i="7"/>
  <c r="AA1093" i="7"/>
  <c r="Z1093" i="7"/>
  <c r="Y1093" i="7"/>
  <c r="X1093" i="7"/>
  <c r="W1093" i="7"/>
  <c r="V1093" i="7"/>
  <c r="U1093" i="7"/>
  <c r="T1093" i="7"/>
  <c r="S1093" i="7"/>
  <c r="R1093" i="7"/>
  <c r="Q1093" i="7"/>
  <c r="P1093" i="7"/>
  <c r="O1093" i="7"/>
  <c r="N1093" i="7"/>
  <c r="M1093" i="7"/>
  <c r="L1093" i="7"/>
  <c r="K1093" i="7"/>
  <c r="J1093" i="7"/>
  <c r="I1093" i="7"/>
  <c r="H1093" i="7"/>
  <c r="G1093" i="7"/>
  <c r="F1093" i="7"/>
  <c r="E1093" i="7"/>
  <c r="AC1092" i="7"/>
  <c r="B1092" i="7"/>
  <c r="AE1091" i="7"/>
  <c r="AD1091" i="7"/>
  <c r="AB1091" i="7"/>
  <c r="AA1091" i="7"/>
  <c r="Z1091" i="7"/>
  <c r="Y1091" i="7"/>
  <c r="X1091" i="7"/>
  <c r="W1091" i="7"/>
  <c r="V1091" i="7"/>
  <c r="U1091" i="7"/>
  <c r="T1091" i="7"/>
  <c r="S1091" i="7"/>
  <c r="R1091" i="7"/>
  <c r="Q1091" i="7"/>
  <c r="P1091" i="7"/>
  <c r="O1091" i="7"/>
  <c r="N1091" i="7"/>
  <c r="M1091" i="7"/>
  <c r="L1091" i="7"/>
  <c r="K1091" i="7"/>
  <c r="J1091" i="7"/>
  <c r="I1091" i="7"/>
  <c r="H1091" i="7"/>
  <c r="G1091" i="7"/>
  <c r="F1091" i="7"/>
  <c r="E1091" i="7"/>
  <c r="AC1090" i="7"/>
  <c r="D1090" i="7" s="1"/>
  <c r="B1090" i="7"/>
  <c r="AC1089" i="7"/>
  <c r="D1089" i="7" s="1"/>
  <c r="B1089" i="7"/>
  <c r="AE1088" i="7"/>
  <c r="AD1088" i="7"/>
  <c r="AB1088" i="7"/>
  <c r="AA1088" i="7"/>
  <c r="Z1088" i="7"/>
  <c r="Y1088" i="7"/>
  <c r="X1088" i="7"/>
  <c r="W1088" i="7"/>
  <c r="V1088" i="7"/>
  <c r="U1088" i="7"/>
  <c r="T1088" i="7"/>
  <c r="S1088" i="7"/>
  <c r="R1088" i="7"/>
  <c r="Q1088" i="7"/>
  <c r="P1088" i="7"/>
  <c r="O1088" i="7"/>
  <c r="N1088" i="7"/>
  <c r="M1088" i="7"/>
  <c r="L1088" i="7"/>
  <c r="K1088" i="7"/>
  <c r="J1088" i="7"/>
  <c r="I1088" i="7"/>
  <c r="H1088" i="7"/>
  <c r="G1088" i="7"/>
  <c r="F1088" i="7"/>
  <c r="E1088" i="7"/>
  <c r="AC1087" i="7"/>
  <c r="B1087" i="7"/>
  <c r="AE1086" i="7"/>
  <c r="AD1086" i="7"/>
  <c r="AB1086" i="7"/>
  <c r="AA1086" i="7"/>
  <c r="Z1086" i="7"/>
  <c r="Y1086" i="7"/>
  <c r="X1086" i="7"/>
  <c r="W1086" i="7"/>
  <c r="V1086" i="7"/>
  <c r="U1086" i="7"/>
  <c r="T1086" i="7"/>
  <c r="S1086" i="7"/>
  <c r="R1086" i="7"/>
  <c r="Q1086" i="7"/>
  <c r="P1086" i="7"/>
  <c r="O1086" i="7"/>
  <c r="N1086" i="7"/>
  <c r="M1086" i="7"/>
  <c r="L1086" i="7"/>
  <c r="K1086" i="7"/>
  <c r="J1086" i="7"/>
  <c r="I1086" i="7"/>
  <c r="H1086" i="7"/>
  <c r="G1086" i="7"/>
  <c r="F1086" i="7"/>
  <c r="E1086" i="7"/>
  <c r="AC1085" i="7"/>
  <c r="B1085" i="7"/>
  <c r="AE1084" i="7"/>
  <c r="AD1084" i="7"/>
  <c r="AB1084" i="7"/>
  <c r="AA1084" i="7"/>
  <c r="Z1084" i="7"/>
  <c r="Y1084" i="7"/>
  <c r="X1084" i="7"/>
  <c r="W1084" i="7"/>
  <c r="V1084" i="7"/>
  <c r="U1084" i="7"/>
  <c r="T1084" i="7"/>
  <c r="S1084" i="7"/>
  <c r="R1084" i="7"/>
  <c r="Q1084" i="7"/>
  <c r="P1084" i="7"/>
  <c r="O1084" i="7"/>
  <c r="N1084" i="7"/>
  <c r="M1084" i="7"/>
  <c r="L1084" i="7"/>
  <c r="K1084" i="7"/>
  <c r="J1084" i="7"/>
  <c r="I1084" i="7"/>
  <c r="H1084" i="7"/>
  <c r="G1084" i="7"/>
  <c r="F1084" i="7"/>
  <c r="E1084" i="7"/>
  <c r="AC1083" i="7"/>
  <c r="D1083" i="7" s="1"/>
  <c r="B1083" i="7"/>
  <c r="AC1082" i="7"/>
  <c r="B1082" i="7"/>
  <c r="AE1081" i="7"/>
  <c r="AD1081" i="7"/>
  <c r="AB1081" i="7"/>
  <c r="AA1081" i="7"/>
  <c r="Z1081" i="7"/>
  <c r="Y1081" i="7"/>
  <c r="X1081" i="7"/>
  <c r="W1081" i="7"/>
  <c r="V1081" i="7"/>
  <c r="U1081" i="7"/>
  <c r="T1081" i="7"/>
  <c r="S1081" i="7"/>
  <c r="R1081" i="7"/>
  <c r="Q1081" i="7"/>
  <c r="P1081" i="7"/>
  <c r="O1081" i="7"/>
  <c r="N1081" i="7"/>
  <c r="M1081" i="7"/>
  <c r="L1081" i="7"/>
  <c r="K1081" i="7"/>
  <c r="J1081" i="7"/>
  <c r="I1081" i="7"/>
  <c r="H1081" i="7"/>
  <c r="G1081" i="7"/>
  <c r="F1081" i="7"/>
  <c r="E1081" i="7"/>
  <c r="AC1080" i="7"/>
  <c r="B1080" i="7"/>
  <c r="AC1079" i="7"/>
  <c r="D1079" i="7" s="1"/>
  <c r="B1079" i="7"/>
  <c r="AE1078" i="7"/>
  <c r="AD1078" i="7"/>
  <c r="AB1078" i="7"/>
  <c r="AA1078" i="7"/>
  <c r="Z1078" i="7"/>
  <c r="Y1078" i="7"/>
  <c r="X1078" i="7"/>
  <c r="W1078" i="7"/>
  <c r="V1078" i="7"/>
  <c r="U1078" i="7"/>
  <c r="T1078" i="7"/>
  <c r="S1078" i="7"/>
  <c r="R1078" i="7"/>
  <c r="Q1078" i="7"/>
  <c r="P1078" i="7"/>
  <c r="O1078" i="7"/>
  <c r="N1078" i="7"/>
  <c r="M1078" i="7"/>
  <c r="L1078" i="7"/>
  <c r="K1078" i="7"/>
  <c r="J1078" i="7"/>
  <c r="I1078" i="7"/>
  <c r="H1078" i="7"/>
  <c r="G1078" i="7"/>
  <c r="F1078" i="7"/>
  <c r="E1078" i="7"/>
  <c r="AC1077" i="7"/>
  <c r="D1077" i="7"/>
  <c r="B1077" i="7"/>
  <c r="AC1076" i="7"/>
  <c r="D1076" i="7" s="1"/>
  <c r="B1076" i="7"/>
  <c r="AC1075" i="7"/>
  <c r="D1075" i="7" s="1"/>
  <c r="B1075" i="7"/>
  <c r="AE1074" i="7"/>
  <c r="AD1074" i="7"/>
  <c r="AB1074" i="7"/>
  <c r="AA1074" i="7"/>
  <c r="Z1074" i="7"/>
  <c r="Y1074" i="7"/>
  <c r="X1074" i="7"/>
  <c r="W1074" i="7"/>
  <c r="V1074" i="7"/>
  <c r="U1074" i="7"/>
  <c r="T1074" i="7"/>
  <c r="S1074" i="7"/>
  <c r="R1074" i="7"/>
  <c r="Q1074" i="7"/>
  <c r="P1074" i="7"/>
  <c r="O1074" i="7"/>
  <c r="N1074" i="7"/>
  <c r="M1074" i="7"/>
  <c r="L1074" i="7"/>
  <c r="K1074" i="7"/>
  <c r="J1074" i="7"/>
  <c r="I1074" i="7"/>
  <c r="H1074" i="7"/>
  <c r="G1074" i="7"/>
  <c r="F1074" i="7"/>
  <c r="E1074" i="7"/>
  <c r="AC1073" i="7"/>
  <c r="D1073" i="7" s="1"/>
  <c r="B1073" i="7"/>
  <c r="AC1072" i="7"/>
  <c r="D1072" i="7" s="1"/>
  <c r="B1072" i="7"/>
  <c r="AC1071" i="7"/>
  <c r="D1071" i="7" s="1"/>
  <c r="B1071" i="7"/>
  <c r="AC1070" i="7"/>
  <c r="D1070" i="7"/>
  <c r="B1070" i="7"/>
  <c r="AC1069" i="7"/>
  <c r="D1069" i="7" s="1"/>
  <c r="B1069" i="7"/>
  <c r="AC1068" i="7"/>
  <c r="D1068" i="7" s="1"/>
  <c r="B1068" i="7"/>
  <c r="AC1067" i="7"/>
  <c r="D1067" i="7"/>
  <c r="B1067" i="7"/>
  <c r="AC1066" i="7"/>
  <c r="D1066" i="7" s="1"/>
  <c r="B1066" i="7"/>
  <c r="AE1065" i="7"/>
  <c r="AD1065" i="7"/>
  <c r="AB1065" i="7"/>
  <c r="AA1065" i="7"/>
  <c r="Z1065" i="7"/>
  <c r="Y1065" i="7"/>
  <c r="X1065" i="7"/>
  <c r="W1065" i="7"/>
  <c r="V1065" i="7"/>
  <c r="U1065" i="7"/>
  <c r="T1065" i="7"/>
  <c r="S1065" i="7"/>
  <c r="R1065" i="7"/>
  <c r="Q1065" i="7"/>
  <c r="P1065" i="7"/>
  <c r="O1065" i="7"/>
  <c r="N1065" i="7"/>
  <c r="M1065" i="7"/>
  <c r="L1065" i="7"/>
  <c r="K1065" i="7"/>
  <c r="J1065" i="7"/>
  <c r="I1065" i="7"/>
  <c r="H1065" i="7"/>
  <c r="G1065" i="7"/>
  <c r="F1065" i="7"/>
  <c r="E1065" i="7"/>
  <c r="AC1064" i="7"/>
  <c r="D1064" i="7" s="1"/>
  <c r="B1064" i="7"/>
  <c r="AC1063" i="7"/>
  <c r="D1063" i="7" s="1"/>
  <c r="B1063" i="7"/>
  <c r="AE1062" i="7"/>
  <c r="AD1062" i="7"/>
  <c r="AB1062" i="7"/>
  <c r="AA1062" i="7"/>
  <c r="Z1062" i="7"/>
  <c r="Y1062" i="7"/>
  <c r="X1062" i="7"/>
  <c r="W1062" i="7"/>
  <c r="V1062" i="7"/>
  <c r="U1062" i="7"/>
  <c r="T1062" i="7"/>
  <c r="S1062" i="7"/>
  <c r="R1062" i="7"/>
  <c r="Q1062" i="7"/>
  <c r="P1062" i="7"/>
  <c r="O1062" i="7"/>
  <c r="N1062" i="7"/>
  <c r="M1062" i="7"/>
  <c r="L1062" i="7"/>
  <c r="K1062" i="7"/>
  <c r="J1062" i="7"/>
  <c r="I1062" i="7"/>
  <c r="H1062" i="7"/>
  <c r="G1062" i="7"/>
  <c r="F1062" i="7"/>
  <c r="E1062" i="7"/>
  <c r="AC1061" i="7"/>
  <c r="D1061" i="7" s="1"/>
  <c r="B1061" i="7"/>
  <c r="AT1060" i="7"/>
  <c r="AC1060" i="7"/>
  <c r="D1060" i="7" s="1"/>
  <c r="B1060" i="7"/>
  <c r="AC1059" i="7"/>
  <c r="D1059" i="7" s="1"/>
  <c r="N1059" i="7"/>
  <c r="B1059" i="7"/>
  <c r="AC1058" i="7"/>
  <c r="D1058" i="7" s="1"/>
  <c r="R1058" i="7"/>
  <c r="B1058" i="7"/>
  <c r="AC1057" i="7"/>
  <c r="D1057" i="7" s="1"/>
  <c r="B1057" i="7"/>
  <c r="AC1056" i="7"/>
  <c r="D1056" i="7" s="1"/>
  <c r="B1056" i="7"/>
  <c r="AT1055" i="7"/>
  <c r="AC1055" i="7"/>
  <c r="D1055" i="7" s="1"/>
  <c r="B1055" i="7"/>
  <c r="D1054" i="7"/>
  <c r="B1054" i="7"/>
  <c r="AC1053" i="7"/>
  <c r="D1053" i="7" s="1"/>
  <c r="B1053" i="7"/>
  <c r="AC1052" i="7"/>
  <c r="D1052" i="7" s="1"/>
  <c r="B1052" i="7"/>
  <c r="AC1051" i="7"/>
  <c r="B1051" i="7"/>
  <c r="AE1050" i="7"/>
  <c r="AD1050" i="7"/>
  <c r="AB1050" i="7"/>
  <c r="AA1050" i="7"/>
  <c r="Z1050" i="7"/>
  <c r="Y1050" i="7"/>
  <c r="X1050" i="7"/>
  <c r="W1050" i="7"/>
  <c r="V1050" i="7"/>
  <c r="U1050" i="7"/>
  <c r="T1050" i="7"/>
  <c r="S1050" i="7"/>
  <c r="R1050" i="7"/>
  <c r="Q1050" i="7"/>
  <c r="P1050" i="7"/>
  <c r="O1050" i="7"/>
  <c r="N1050" i="7"/>
  <c r="M1050" i="7"/>
  <c r="L1050" i="7"/>
  <c r="K1050" i="7"/>
  <c r="J1050" i="7"/>
  <c r="I1050" i="7"/>
  <c r="H1050" i="7"/>
  <c r="G1050" i="7"/>
  <c r="F1050" i="7"/>
  <c r="E1050" i="7"/>
  <c r="D1049" i="7"/>
  <c r="B1049" i="7"/>
  <c r="AC1048" i="7"/>
  <c r="D1048" i="7" s="1"/>
  <c r="B1048" i="7"/>
  <c r="AC1047" i="7"/>
  <c r="D1047" i="7" s="1"/>
  <c r="B1047" i="7"/>
  <c r="AC1046" i="7"/>
  <c r="D1046" i="7" s="1"/>
  <c r="B1046" i="7"/>
  <c r="D1045" i="7"/>
  <c r="B1045" i="7"/>
  <c r="AC1044" i="7"/>
  <c r="D1044" i="7" s="1"/>
  <c r="B1044" i="7"/>
  <c r="AC1043" i="7"/>
  <c r="D1043" i="7" s="1"/>
  <c r="B1043" i="7"/>
  <c r="AC1042" i="7"/>
  <c r="D1042" i="7" s="1"/>
  <c r="B1042" i="7"/>
  <c r="AC1041" i="7"/>
  <c r="D1041" i="7" s="1"/>
  <c r="B1041" i="7"/>
  <c r="AC1040" i="7"/>
  <c r="D1040" i="7" s="1"/>
  <c r="B1040" i="7"/>
  <c r="AC1039" i="7"/>
  <c r="D1039" i="7" s="1"/>
  <c r="B1039" i="7"/>
  <c r="AC1038" i="7"/>
  <c r="D1038" i="7"/>
  <c r="B1038" i="7"/>
  <c r="AC1037" i="7"/>
  <c r="D1037" i="7" s="1"/>
  <c r="B1037" i="7"/>
  <c r="AT1036" i="7"/>
  <c r="D1036" i="7"/>
  <c r="B1036" i="7"/>
  <c r="AC1035" i="7"/>
  <c r="D1035" i="7" s="1"/>
  <c r="B1035" i="7"/>
  <c r="AC1034" i="7"/>
  <c r="D1034" i="7" s="1"/>
  <c r="B1034" i="7"/>
  <c r="AC1033" i="7"/>
  <c r="D1033" i="7" s="1"/>
  <c r="B1033" i="7"/>
  <c r="AC1032" i="7"/>
  <c r="D1032" i="7" s="1"/>
  <c r="B1032" i="7"/>
  <c r="AC1031" i="7"/>
  <c r="D1031" i="7" s="1"/>
  <c r="B1031" i="7"/>
  <c r="AC1030" i="7"/>
  <c r="D1030" i="7" s="1"/>
  <c r="B1030" i="7"/>
  <c r="AC1029" i="7"/>
  <c r="D1029" i="7" s="1"/>
  <c r="B1029" i="7"/>
  <c r="AC1028" i="7"/>
  <c r="D1028" i="7" s="1"/>
  <c r="B1028" i="7"/>
  <c r="AC1027" i="7"/>
  <c r="D1027" i="7" s="1"/>
  <c r="N1027" i="7"/>
  <c r="B1027" i="7"/>
  <c r="AC1026" i="7"/>
  <c r="D1026" i="7" s="1"/>
  <c r="B1026" i="7"/>
  <c r="AC1025" i="7"/>
  <c r="D1025" i="7" s="1"/>
  <c r="B1025" i="7"/>
  <c r="AC1024" i="7"/>
  <c r="D1024" i="7"/>
  <c r="B1024" i="7"/>
  <c r="AC1023" i="7"/>
  <c r="D1023" i="7" s="1"/>
  <c r="B1023" i="7"/>
  <c r="AE1022" i="7"/>
  <c r="AD1022" i="7"/>
  <c r="AB1022" i="7"/>
  <c r="AA1022" i="7"/>
  <c r="Z1022" i="7"/>
  <c r="Y1022" i="7"/>
  <c r="X1022" i="7"/>
  <c r="W1022" i="7"/>
  <c r="V1022" i="7"/>
  <c r="U1022" i="7"/>
  <c r="T1022" i="7"/>
  <c r="S1022" i="7"/>
  <c r="R1022" i="7"/>
  <c r="Q1022" i="7"/>
  <c r="P1022" i="7"/>
  <c r="O1022" i="7"/>
  <c r="N1022" i="7"/>
  <c r="M1022" i="7"/>
  <c r="L1022" i="7"/>
  <c r="K1022" i="7"/>
  <c r="J1022" i="7"/>
  <c r="I1022" i="7"/>
  <c r="H1022" i="7"/>
  <c r="G1022" i="7"/>
  <c r="F1022" i="7"/>
  <c r="E1022" i="7"/>
  <c r="AC1021" i="7"/>
  <c r="D1021" i="7"/>
  <c r="B1021" i="7"/>
  <c r="AC1020" i="7"/>
  <c r="D1020" i="7" s="1"/>
  <c r="B1020" i="7"/>
  <c r="AC1019" i="7"/>
  <c r="D1019" i="7" s="1"/>
  <c r="N1019" i="7"/>
  <c r="B1019" i="7"/>
  <c r="AC1018" i="7"/>
  <c r="D1018" i="7" s="1"/>
  <c r="N1018" i="7"/>
  <c r="B1018" i="7"/>
  <c r="AC1017" i="7"/>
  <c r="D1017" i="7" s="1"/>
  <c r="N1017" i="7"/>
  <c r="B1017" i="7"/>
  <c r="AC1016" i="7"/>
  <c r="D1016" i="7" s="1"/>
  <c r="B1016" i="7"/>
  <c r="AC1015" i="7"/>
  <c r="D1015" i="7" s="1"/>
  <c r="B1015" i="7"/>
  <c r="AC1014" i="7"/>
  <c r="D1014" i="7" s="1"/>
  <c r="B1014" i="7"/>
  <c r="AC1013" i="7"/>
  <c r="D1013" i="7" s="1"/>
  <c r="B1013" i="7"/>
  <c r="AC1012" i="7"/>
  <c r="D1012" i="7" s="1"/>
  <c r="B1012" i="7"/>
  <c r="AC1011" i="7"/>
  <c r="D1011" i="7" s="1"/>
  <c r="B1011" i="7"/>
  <c r="AC1010" i="7"/>
  <c r="D1010" i="7" s="1"/>
  <c r="B1010" i="7"/>
  <c r="AC1009" i="7"/>
  <c r="D1009" i="7" s="1"/>
  <c r="B1009" i="7"/>
  <c r="AC1008" i="7"/>
  <c r="B1008" i="7"/>
  <c r="AE1007" i="7"/>
  <c r="AD1007" i="7"/>
  <c r="AB1007" i="7"/>
  <c r="AA1007" i="7"/>
  <c r="Z1007" i="7"/>
  <c r="Y1007" i="7"/>
  <c r="X1007" i="7"/>
  <c r="W1007" i="7"/>
  <c r="V1007" i="7"/>
  <c r="U1007" i="7"/>
  <c r="T1007" i="7"/>
  <c r="S1007" i="7"/>
  <c r="R1007" i="7"/>
  <c r="Q1007" i="7"/>
  <c r="P1007" i="7"/>
  <c r="O1007" i="7"/>
  <c r="N1007" i="7"/>
  <c r="M1007" i="7"/>
  <c r="L1007" i="7"/>
  <c r="K1007" i="7"/>
  <c r="J1007" i="7"/>
  <c r="I1007" i="7"/>
  <c r="H1007" i="7"/>
  <c r="G1007" i="7"/>
  <c r="F1007" i="7"/>
  <c r="E1007" i="7"/>
  <c r="D1006" i="7"/>
  <c r="B1006" i="7"/>
  <c r="D1005" i="7"/>
  <c r="B1005" i="7"/>
  <c r="D1004" i="7"/>
  <c r="B1004" i="7"/>
  <c r="D1003" i="7"/>
  <c r="B1003" i="7"/>
  <c r="D1002" i="7"/>
  <c r="B1002" i="7"/>
  <c r="D1001" i="7"/>
  <c r="B1001" i="7"/>
  <c r="D1000" i="7"/>
  <c r="B1000" i="7"/>
  <c r="D999" i="7"/>
  <c r="B999" i="7"/>
  <c r="D998" i="7"/>
  <c r="B998" i="7"/>
  <c r="D997" i="7"/>
  <c r="B997" i="7"/>
  <c r="D996" i="7"/>
  <c r="B996" i="7"/>
  <c r="D995" i="7"/>
  <c r="B995" i="7"/>
  <c r="D994" i="7"/>
  <c r="B994" i="7"/>
  <c r="D993" i="7"/>
  <c r="B993" i="7"/>
  <c r="D992" i="7"/>
  <c r="B992" i="7"/>
  <c r="D991" i="7"/>
  <c r="B991" i="7"/>
  <c r="D990" i="7"/>
  <c r="B990" i="7"/>
  <c r="D989" i="7"/>
  <c r="B989" i="7"/>
  <c r="D988" i="7"/>
  <c r="B988" i="7"/>
  <c r="D987" i="7"/>
  <c r="B987" i="7"/>
  <c r="D986" i="7"/>
  <c r="B986" i="7"/>
  <c r="D985" i="7"/>
  <c r="B985" i="7"/>
  <c r="D984" i="7"/>
  <c r="B984" i="7"/>
  <c r="D983" i="7"/>
  <c r="B983" i="7"/>
  <c r="D982" i="7"/>
  <c r="B982" i="7"/>
  <c r="D981" i="7"/>
  <c r="B981" i="7"/>
  <c r="D980" i="7"/>
  <c r="B980" i="7"/>
  <c r="D979" i="7"/>
  <c r="B979" i="7"/>
  <c r="D978" i="7"/>
  <c r="B978" i="7"/>
  <c r="D977" i="7"/>
  <c r="B977" i="7"/>
  <c r="D976" i="7"/>
  <c r="B976" i="7"/>
  <c r="D975" i="7"/>
  <c r="B975" i="7"/>
  <c r="D974" i="7"/>
  <c r="B974" i="7"/>
  <c r="D973" i="7"/>
  <c r="B973" i="7"/>
  <c r="D972" i="7"/>
  <c r="B972" i="7"/>
  <c r="D971" i="7"/>
  <c r="B971" i="7"/>
  <c r="D970" i="7"/>
  <c r="B970" i="7"/>
  <c r="D969" i="7"/>
  <c r="B969" i="7"/>
  <c r="D968" i="7"/>
  <c r="B968" i="7"/>
  <c r="D967" i="7"/>
  <c r="B967" i="7"/>
  <c r="D966" i="7"/>
  <c r="B966" i="7"/>
  <c r="D965" i="7"/>
  <c r="B965" i="7"/>
  <c r="D964" i="7"/>
  <c r="B964" i="7"/>
  <c r="D963" i="7"/>
  <c r="B963" i="7"/>
  <c r="D962" i="7"/>
  <c r="B962" i="7"/>
  <c r="D961" i="7"/>
  <c r="B961" i="7"/>
  <c r="D960" i="7"/>
  <c r="B960" i="7"/>
  <c r="D959" i="7"/>
  <c r="B959" i="7"/>
  <c r="D958" i="7"/>
  <c r="B958" i="7"/>
  <c r="D957" i="7"/>
  <c r="B957" i="7"/>
  <c r="D956" i="7"/>
  <c r="B956" i="7"/>
  <c r="D955" i="7"/>
  <c r="B955" i="7"/>
  <c r="D954" i="7"/>
  <c r="B954" i="7"/>
  <c r="D953" i="7"/>
  <c r="B953" i="7"/>
  <c r="D952" i="7"/>
  <c r="B952" i="7"/>
  <c r="D951" i="7"/>
  <c r="B951" i="7"/>
  <c r="D950" i="7"/>
  <c r="B950" i="7"/>
  <c r="D949" i="7"/>
  <c r="B949" i="7"/>
  <c r="D948" i="7"/>
  <c r="B948" i="7"/>
  <c r="AE947" i="7"/>
  <c r="AD947" i="7"/>
  <c r="AC947" i="7"/>
  <c r="AB947" i="7"/>
  <c r="AA947" i="7"/>
  <c r="Z947" i="7"/>
  <c r="Y947" i="7"/>
  <c r="X947" i="7"/>
  <c r="W947" i="7"/>
  <c r="V947" i="7"/>
  <c r="U947" i="7"/>
  <c r="T947" i="7"/>
  <c r="S947" i="7"/>
  <c r="R947" i="7"/>
  <c r="Q947" i="7"/>
  <c r="P947" i="7"/>
  <c r="O947" i="7"/>
  <c r="N947" i="7"/>
  <c r="M947" i="7"/>
  <c r="L947" i="7"/>
  <c r="K947" i="7"/>
  <c r="J947" i="7"/>
  <c r="I947" i="7"/>
  <c r="H947" i="7"/>
  <c r="G947" i="7"/>
  <c r="F947" i="7"/>
  <c r="E947" i="7"/>
  <c r="AC945" i="7"/>
  <c r="D945" i="7" s="1"/>
  <c r="D944" i="7" s="1"/>
  <c r="B945" i="7"/>
  <c r="AE944" i="7"/>
  <c r="AD944" i="7"/>
  <c r="AB944" i="7"/>
  <c r="AA944" i="7"/>
  <c r="Z944" i="7"/>
  <c r="Y944" i="7"/>
  <c r="X944" i="7"/>
  <c r="W944" i="7"/>
  <c r="V944" i="7"/>
  <c r="U944" i="7"/>
  <c r="T944" i="7"/>
  <c r="S944" i="7"/>
  <c r="R944" i="7"/>
  <c r="Q944" i="7"/>
  <c r="P944" i="7"/>
  <c r="O944" i="7"/>
  <c r="N944" i="7"/>
  <c r="M944" i="7"/>
  <c r="L944" i="7"/>
  <c r="K944" i="7"/>
  <c r="J944" i="7"/>
  <c r="I944" i="7"/>
  <c r="H944" i="7"/>
  <c r="G944" i="7"/>
  <c r="F944" i="7"/>
  <c r="E944" i="7"/>
  <c r="AC943" i="7"/>
  <c r="B943" i="7"/>
  <c r="AE942" i="7"/>
  <c r="AD942" i="7"/>
  <c r="AB942" i="7"/>
  <c r="AA942" i="7"/>
  <c r="Z942" i="7"/>
  <c r="Y942" i="7"/>
  <c r="X942" i="7"/>
  <c r="W942" i="7"/>
  <c r="V942" i="7"/>
  <c r="U942" i="7"/>
  <c r="T942" i="7"/>
  <c r="S942" i="7"/>
  <c r="R942" i="7"/>
  <c r="Q942" i="7"/>
  <c r="P942" i="7"/>
  <c r="O942" i="7"/>
  <c r="N942" i="7"/>
  <c r="M942" i="7"/>
  <c r="L942" i="7"/>
  <c r="K942" i="7"/>
  <c r="J942" i="7"/>
  <c r="I942" i="7"/>
  <c r="H942" i="7"/>
  <c r="G942" i="7"/>
  <c r="F942" i="7"/>
  <c r="E942" i="7"/>
  <c r="AC941" i="7"/>
  <c r="D941" i="7" s="1"/>
  <c r="B941" i="7"/>
  <c r="AC940" i="7"/>
  <c r="B940" i="7"/>
  <c r="AE939" i="7"/>
  <c r="AD939" i="7"/>
  <c r="AB939" i="7"/>
  <c r="AA939" i="7"/>
  <c r="Z939" i="7"/>
  <c r="Y939" i="7"/>
  <c r="X939" i="7"/>
  <c r="W939" i="7"/>
  <c r="V939" i="7"/>
  <c r="U939" i="7"/>
  <c r="T939" i="7"/>
  <c r="S939" i="7"/>
  <c r="R939" i="7"/>
  <c r="Q939" i="7"/>
  <c r="P939" i="7"/>
  <c r="O939" i="7"/>
  <c r="N939" i="7"/>
  <c r="M939" i="7"/>
  <c r="L939" i="7"/>
  <c r="K939" i="7"/>
  <c r="J939" i="7"/>
  <c r="I939" i="7"/>
  <c r="H939" i="7"/>
  <c r="G939" i="7"/>
  <c r="F939" i="7"/>
  <c r="E939" i="7"/>
  <c r="AC938" i="7"/>
  <c r="D938" i="7" s="1"/>
  <c r="D937" i="7" s="1"/>
  <c r="B938" i="7"/>
  <c r="AE937" i="7"/>
  <c r="AD937" i="7"/>
  <c r="AB937" i="7"/>
  <c r="AA937" i="7"/>
  <c r="Z937" i="7"/>
  <c r="Y937" i="7"/>
  <c r="X937" i="7"/>
  <c r="W937" i="7"/>
  <c r="V937" i="7"/>
  <c r="U937" i="7"/>
  <c r="T937" i="7"/>
  <c r="S937" i="7"/>
  <c r="R937" i="7"/>
  <c r="Q937" i="7"/>
  <c r="P937" i="7"/>
  <c r="O937" i="7"/>
  <c r="N937" i="7"/>
  <c r="M937" i="7"/>
  <c r="L937" i="7"/>
  <c r="K937" i="7"/>
  <c r="J937" i="7"/>
  <c r="I937" i="7"/>
  <c r="H937" i="7"/>
  <c r="G937" i="7"/>
  <c r="F937" i="7"/>
  <c r="E937" i="7"/>
  <c r="AC936" i="7"/>
  <c r="D936" i="7" s="1"/>
  <c r="B936" i="7"/>
  <c r="AC935" i="7"/>
  <c r="D935" i="7" s="1"/>
  <c r="N935" i="7"/>
  <c r="B935" i="7"/>
  <c r="AC934" i="7"/>
  <c r="D934" i="7" s="1"/>
  <c r="B934" i="7"/>
  <c r="AE933" i="7"/>
  <c r="AD933" i="7"/>
  <c r="AB933" i="7"/>
  <c r="AA933" i="7"/>
  <c r="Z933" i="7"/>
  <c r="Y933" i="7"/>
  <c r="X933" i="7"/>
  <c r="W933" i="7"/>
  <c r="V933" i="7"/>
  <c r="U933" i="7"/>
  <c r="T933" i="7"/>
  <c r="S933" i="7"/>
  <c r="R933" i="7"/>
  <c r="Q933" i="7"/>
  <c r="P933" i="7"/>
  <c r="O933" i="7"/>
  <c r="N933" i="7"/>
  <c r="M933" i="7"/>
  <c r="L933" i="7"/>
  <c r="K933" i="7"/>
  <c r="J933" i="7"/>
  <c r="I933" i="7"/>
  <c r="H933" i="7"/>
  <c r="G933" i="7"/>
  <c r="F933" i="7"/>
  <c r="E933" i="7"/>
  <c r="AC932" i="7"/>
  <c r="B932" i="7"/>
  <c r="AE931" i="7"/>
  <c r="AD931" i="7"/>
  <c r="AB931" i="7"/>
  <c r="AA931" i="7"/>
  <c r="Z931" i="7"/>
  <c r="Y931" i="7"/>
  <c r="X931" i="7"/>
  <c r="W931" i="7"/>
  <c r="V931" i="7"/>
  <c r="U931" i="7"/>
  <c r="T931" i="7"/>
  <c r="S931" i="7"/>
  <c r="R931" i="7"/>
  <c r="Q931" i="7"/>
  <c r="P931" i="7"/>
  <c r="O931" i="7"/>
  <c r="N931" i="7"/>
  <c r="M931" i="7"/>
  <c r="L931" i="7"/>
  <c r="K931" i="7"/>
  <c r="J931" i="7"/>
  <c r="I931" i="7"/>
  <c r="H931" i="7"/>
  <c r="G931" i="7"/>
  <c r="F931" i="7"/>
  <c r="E931" i="7"/>
  <c r="AC930" i="7"/>
  <c r="D930" i="7" s="1"/>
  <c r="D929" i="7" s="1"/>
  <c r="B930" i="7"/>
  <c r="AE929" i="7"/>
  <c r="AD929" i="7"/>
  <c r="AB929" i="7"/>
  <c r="AA929" i="7"/>
  <c r="Z929" i="7"/>
  <c r="Y929" i="7"/>
  <c r="X929" i="7"/>
  <c r="W929" i="7"/>
  <c r="V929" i="7"/>
  <c r="U929" i="7"/>
  <c r="T929" i="7"/>
  <c r="S929" i="7"/>
  <c r="R929" i="7"/>
  <c r="Q929" i="7"/>
  <c r="P929" i="7"/>
  <c r="O929" i="7"/>
  <c r="N929" i="7"/>
  <c r="M929" i="7"/>
  <c r="L929" i="7"/>
  <c r="K929" i="7"/>
  <c r="J929" i="7"/>
  <c r="I929" i="7"/>
  <c r="H929" i="7"/>
  <c r="G929" i="7"/>
  <c r="F929" i="7"/>
  <c r="E929" i="7"/>
  <c r="AC928" i="7"/>
  <c r="D928" i="7" s="1"/>
  <c r="D927" i="7" s="1"/>
  <c r="B928" i="7"/>
  <c r="AE927" i="7"/>
  <c r="AD927" i="7"/>
  <c r="AC927" i="7"/>
  <c r="AB927" i="7"/>
  <c r="AA927" i="7"/>
  <c r="Z927" i="7"/>
  <c r="Y927" i="7"/>
  <c r="X927" i="7"/>
  <c r="W927" i="7"/>
  <c r="V927" i="7"/>
  <c r="U927" i="7"/>
  <c r="T927" i="7"/>
  <c r="S927" i="7"/>
  <c r="R927" i="7"/>
  <c r="Q927" i="7"/>
  <c r="P927" i="7"/>
  <c r="O927" i="7"/>
  <c r="N927" i="7"/>
  <c r="M927" i="7"/>
  <c r="L927" i="7"/>
  <c r="K927" i="7"/>
  <c r="J927" i="7"/>
  <c r="I927" i="7"/>
  <c r="H927" i="7"/>
  <c r="G927" i="7"/>
  <c r="F927" i="7"/>
  <c r="E927" i="7"/>
  <c r="AC926" i="7"/>
  <c r="D926" i="7" s="1"/>
  <c r="B926" i="7"/>
  <c r="AC925" i="7"/>
  <c r="D925" i="7" s="1"/>
  <c r="B925" i="7"/>
  <c r="AE924" i="7"/>
  <c r="AD924" i="7"/>
  <c r="AB924" i="7"/>
  <c r="AA924" i="7"/>
  <c r="Z924" i="7"/>
  <c r="Y924" i="7"/>
  <c r="X924" i="7"/>
  <c r="W924" i="7"/>
  <c r="V924" i="7"/>
  <c r="U924" i="7"/>
  <c r="T924" i="7"/>
  <c r="S924" i="7"/>
  <c r="R924" i="7"/>
  <c r="Q924" i="7"/>
  <c r="P924" i="7"/>
  <c r="O924" i="7"/>
  <c r="N924" i="7"/>
  <c r="M924" i="7"/>
  <c r="L924" i="7"/>
  <c r="K924" i="7"/>
  <c r="J924" i="7"/>
  <c r="I924" i="7"/>
  <c r="H924" i="7"/>
  <c r="G924" i="7"/>
  <c r="F924" i="7"/>
  <c r="E924" i="7"/>
  <c r="AC923" i="7"/>
  <c r="D923" i="7" s="1"/>
  <c r="B923" i="7"/>
  <c r="AT922" i="7"/>
  <c r="AC922" i="7"/>
  <c r="D922" i="7" s="1"/>
  <c r="B922" i="7"/>
  <c r="AC921" i="7"/>
  <c r="D921" i="7" s="1"/>
  <c r="B921" i="7"/>
  <c r="AE920" i="7"/>
  <c r="AD920" i="7"/>
  <c r="AB920" i="7"/>
  <c r="AA920" i="7"/>
  <c r="Z920" i="7"/>
  <c r="Y920" i="7"/>
  <c r="X920" i="7"/>
  <c r="W920" i="7"/>
  <c r="V920" i="7"/>
  <c r="U920" i="7"/>
  <c r="T920" i="7"/>
  <c r="S920" i="7"/>
  <c r="R920" i="7"/>
  <c r="Q920" i="7"/>
  <c r="P920" i="7"/>
  <c r="O920" i="7"/>
  <c r="N920" i="7"/>
  <c r="M920" i="7"/>
  <c r="L920" i="7"/>
  <c r="K920" i="7"/>
  <c r="J920" i="7"/>
  <c r="I920" i="7"/>
  <c r="H920" i="7"/>
  <c r="G920" i="7"/>
  <c r="F920" i="7"/>
  <c r="E920" i="7"/>
  <c r="AC919" i="7"/>
  <c r="D919" i="7" s="1"/>
  <c r="D918" i="7" s="1"/>
  <c r="CB918" i="7" s="1"/>
  <c r="B919" i="7"/>
  <c r="AE918" i="7"/>
  <c r="AD918" i="7"/>
  <c r="AB918" i="7"/>
  <c r="AA918" i="7"/>
  <c r="Z918" i="7"/>
  <c r="Y918" i="7"/>
  <c r="X918" i="7"/>
  <c r="W918" i="7"/>
  <c r="V918" i="7"/>
  <c r="U918" i="7"/>
  <c r="T918" i="7"/>
  <c r="S918" i="7"/>
  <c r="R918" i="7"/>
  <c r="Q918" i="7"/>
  <c r="P918" i="7"/>
  <c r="O918" i="7"/>
  <c r="N918" i="7"/>
  <c r="M918" i="7"/>
  <c r="L918" i="7"/>
  <c r="K918" i="7"/>
  <c r="J918" i="7"/>
  <c r="I918" i="7"/>
  <c r="H918" i="7"/>
  <c r="G918" i="7"/>
  <c r="F918" i="7"/>
  <c r="E918" i="7"/>
  <c r="AC917" i="7"/>
  <c r="B917" i="7"/>
  <c r="AE916" i="7"/>
  <c r="AD916" i="7"/>
  <c r="AB916" i="7"/>
  <c r="AA916" i="7"/>
  <c r="Z916" i="7"/>
  <c r="Y916" i="7"/>
  <c r="X916" i="7"/>
  <c r="W916" i="7"/>
  <c r="V916" i="7"/>
  <c r="U916" i="7"/>
  <c r="T916" i="7"/>
  <c r="S916" i="7"/>
  <c r="R916" i="7"/>
  <c r="Q916" i="7"/>
  <c r="P916" i="7"/>
  <c r="O916" i="7"/>
  <c r="N916" i="7"/>
  <c r="M916" i="7"/>
  <c r="L916" i="7"/>
  <c r="K916" i="7"/>
  <c r="J916" i="7"/>
  <c r="I916" i="7"/>
  <c r="H916" i="7"/>
  <c r="G916" i="7"/>
  <c r="F916" i="7"/>
  <c r="E916" i="7"/>
  <c r="AC915" i="7"/>
  <c r="D915" i="7" s="1"/>
  <c r="D914" i="7" s="1"/>
  <c r="B915" i="7"/>
  <c r="AE914" i="7"/>
  <c r="AD914" i="7"/>
  <c r="AB914" i="7"/>
  <c r="AA914" i="7"/>
  <c r="Z914" i="7"/>
  <c r="Y914" i="7"/>
  <c r="X914" i="7"/>
  <c r="W914" i="7"/>
  <c r="V914" i="7"/>
  <c r="U914" i="7"/>
  <c r="T914" i="7"/>
  <c r="S914" i="7"/>
  <c r="R914" i="7"/>
  <c r="Q914" i="7"/>
  <c r="P914" i="7"/>
  <c r="O914" i="7"/>
  <c r="N914" i="7"/>
  <c r="M914" i="7"/>
  <c r="L914" i="7"/>
  <c r="K914" i="7"/>
  <c r="J914" i="7"/>
  <c r="I914" i="7"/>
  <c r="H914" i="7"/>
  <c r="G914" i="7"/>
  <c r="F914" i="7"/>
  <c r="E914" i="7"/>
  <c r="AC913" i="7"/>
  <c r="D913" i="7" s="1"/>
  <c r="D912" i="7" s="1"/>
  <c r="N913" i="7"/>
  <c r="B913" i="7"/>
  <c r="AE912" i="7"/>
  <c r="AD912" i="7"/>
  <c r="AB912" i="7"/>
  <c r="AA912" i="7"/>
  <c r="Z912" i="7"/>
  <c r="Y912" i="7"/>
  <c r="X912" i="7"/>
  <c r="W912" i="7"/>
  <c r="V912" i="7"/>
  <c r="U912" i="7"/>
  <c r="T912" i="7"/>
  <c r="S912" i="7"/>
  <c r="R912" i="7"/>
  <c r="Q912" i="7"/>
  <c r="P912" i="7"/>
  <c r="O912" i="7"/>
  <c r="N912" i="7"/>
  <c r="M912" i="7"/>
  <c r="L912" i="7"/>
  <c r="K912" i="7"/>
  <c r="J912" i="7"/>
  <c r="I912" i="7"/>
  <c r="H912" i="7"/>
  <c r="G912" i="7"/>
  <c r="F912" i="7"/>
  <c r="E912" i="7"/>
  <c r="AC911" i="7"/>
  <c r="D911" i="7" s="1"/>
  <c r="D910" i="7" s="1"/>
  <c r="B911" i="7"/>
  <c r="AE910" i="7"/>
  <c r="AD910" i="7"/>
  <c r="AC910" i="7"/>
  <c r="AB910" i="7"/>
  <c r="AA910" i="7"/>
  <c r="Z910" i="7"/>
  <c r="Y910" i="7"/>
  <c r="X910" i="7"/>
  <c r="W910" i="7"/>
  <c r="V910" i="7"/>
  <c r="U910" i="7"/>
  <c r="T910" i="7"/>
  <c r="S910" i="7"/>
  <c r="R910" i="7"/>
  <c r="Q910" i="7"/>
  <c r="P910" i="7"/>
  <c r="O910" i="7"/>
  <c r="N910" i="7"/>
  <c r="M910" i="7"/>
  <c r="L910" i="7"/>
  <c r="K910" i="7"/>
  <c r="J910" i="7"/>
  <c r="I910" i="7"/>
  <c r="H910" i="7"/>
  <c r="G910" i="7"/>
  <c r="F910" i="7"/>
  <c r="E910" i="7"/>
  <c r="AC909" i="7"/>
  <c r="D909" i="7" s="1"/>
  <c r="B909" i="7"/>
  <c r="AC908" i="7"/>
  <c r="D908" i="7" s="1"/>
  <c r="B908" i="7"/>
  <c r="AE907" i="7"/>
  <c r="AD907" i="7"/>
  <c r="AB907" i="7"/>
  <c r="AA907" i="7"/>
  <c r="Z907" i="7"/>
  <c r="Y907" i="7"/>
  <c r="X907" i="7"/>
  <c r="W907" i="7"/>
  <c r="V907" i="7"/>
  <c r="U907" i="7"/>
  <c r="T907" i="7"/>
  <c r="S907" i="7"/>
  <c r="R907" i="7"/>
  <c r="Q907" i="7"/>
  <c r="P907" i="7"/>
  <c r="O907" i="7"/>
  <c r="N907" i="7"/>
  <c r="M907" i="7"/>
  <c r="L907" i="7"/>
  <c r="K907" i="7"/>
  <c r="J907" i="7"/>
  <c r="I907" i="7"/>
  <c r="H907" i="7"/>
  <c r="G907" i="7"/>
  <c r="F907" i="7"/>
  <c r="E907" i="7"/>
  <c r="AC906" i="7"/>
  <c r="D906" i="7" s="1"/>
  <c r="B906" i="7"/>
  <c r="AC905" i="7"/>
  <c r="D905" i="7" s="1"/>
  <c r="B905" i="7"/>
  <c r="AC904" i="7"/>
  <c r="D904" i="7" s="1"/>
  <c r="B904" i="7"/>
  <c r="AC903" i="7"/>
  <c r="D903" i="7" s="1"/>
  <c r="B903" i="7"/>
  <c r="AC902" i="7"/>
  <c r="D902" i="7" s="1"/>
  <c r="B902" i="7"/>
  <c r="AE901" i="7"/>
  <c r="AD901" i="7"/>
  <c r="AB901" i="7"/>
  <c r="AA901" i="7"/>
  <c r="Z901" i="7"/>
  <c r="Y901" i="7"/>
  <c r="X901" i="7"/>
  <c r="W901" i="7"/>
  <c r="V901" i="7"/>
  <c r="U901" i="7"/>
  <c r="T901" i="7"/>
  <c r="S901" i="7"/>
  <c r="R901" i="7"/>
  <c r="Q901" i="7"/>
  <c r="P901" i="7"/>
  <c r="O901" i="7"/>
  <c r="N901" i="7"/>
  <c r="M901" i="7"/>
  <c r="L901" i="7"/>
  <c r="K901" i="7"/>
  <c r="J901" i="7"/>
  <c r="I901" i="7"/>
  <c r="H901" i="7"/>
  <c r="G901" i="7"/>
  <c r="F901" i="7"/>
  <c r="E901" i="7"/>
  <c r="AC900" i="7"/>
  <c r="D900" i="7" s="1"/>
  <c r="D899" i="7" s="1"/>
  <c r="B900" i="7"/>
  <c r="AE899" i="7"/>
  <c r="AD899" i="7"/>
  <c r="AB899" i="7"/>
  <c r="AA899" i="7"/>
  <c r="Z899" i="7"/>
  <c r="Y899" i="7"/>
  <c r="X899" i="7"/>
  <c r="W899" i="7"/>
  <c r="V899" i="7"/>
  <c r="U899" i="7"/>
  <c r="T899" i="7"/>
  <c r="S899" i="7"/>
  <c r="R899" i="7"/>
  <c r="Q899" i="7"/>
  <c r="P899" i="7"/>
  <c r="O899" i="7"/>
  <c r="N899" i="7"/>
  <c r="M899" i="7"/>
  <c r="L899" i="7"/>
  <c r="K899" i="7"/>
  <c r="J899" i="7"/>
  <c r="I899" i="7"/>
  <c r="H899" i="7"/>
  <c r="G899" i="7"/>
  <c r="F899" i="7"/>
  <c r="E899" i="7"/>
  <c r="AC898" i="7"/>
  <c r="D898" i="7" s="1"/>
  <c r="D897" i="7" s="1"/>
  <c r="B898" i="7"/>
  <c r="AE897" i="7"/>
  <c r="AD897" i="7"/>
  <c r="AC897" i="7"/>
  <c r="AB897" i="7"/>
  <c r="AA897" i="7"/>
  <c r="Z897" i="7"/>
  <c r="Y897" i="7"/>
  <c r="X897" i="7"/>
  <c r="W897" i="7"/>
  <c r="V897" i="7"/>
  <c r="U897" i="7"/>
  <c r="T897" i="7"/>
  <c r="S897" i="7"/>
  <c r="R897" i="7"/>
  <c r="Q897" i="7"/>
  <c r="P897" i="7"/>
  <c r="O897" i="7"/>
  <c r="N897" i="7"/>
  <c r="M897" i="7"/>
  <c r="L897" i="7"/>
  <c r="K897" i="7"/>
  <c r="J897" i="7"/>
  <c r="I897" i="7"/>
  <c r="H897" i="7"/>
  <c r="G897" i="7"/>
  <c r="F897" i="7"/>
  <c r="E897" i="7"/>
  <c r="AC896" i="7"/>
  <c r="D896" i="7" s="1"/>
  <c r="N896" i="7"/>
  <c r="B896" i="7"/>
  <c r="AC895" i="7"/>
  <c r="D895" i="7" s="1"/>
  <c r="B895" i="7"/>
  <c r="AC894" i="7"/>
  <c r="D894" i="7" s="1"/>
  <c r="B894" i="7"/>
  <c r="AE893" i="7"/>
  <c r="AD893" i="7"/>
  <c r="AB893" i="7"/>
  <c r="AA893" i="7"/>
  <c r="Z893" i="7"/>
  <c r="Y893" i="7"/>
  <c r="X893" i="7"/>
  <c r="W893" i="7"/>
  <c r="V893" i="7"/>
  <c r="U893" i="7"/>
  <c r="T893" i="7"/>
  <c r="S893" i="7"/>
  <c r="R893" i="7"/>
  <c r="Q893" i="7"/>
  <c r="P893" i="7"/>
  <c r="O893" i="7"/>
  <c r="N893" i="7"/>
  <c r="M893" i="7"/>
  <c r="L893" i="7"/>
  <c r="K893" i="7"/>
  <c r="J893" i="7"/>
  <c r="I893" i="7"/>
  <c r="H893" i="7"/>
  <c r="G893" i="7"/>
  <c r="F893" i="7"/>
  <c r="E893" i="7"/>
  <c r="AC892" i="7"/>
  <c r="D892" i="7" s="1"/>
  <c r="D891" i="7" s="1"/>
  <c r="B892" i="7"/>
  <c r="AE891" i="7"/>
  <c r="AD891" i="7"/>
  <c r="AC891" i="7"/>
  <c r="AB891" i="7"/>
  <c r="AA891" i="7"/>
  <c r="Z891" i="7"/>
  <c r="Y891" i="7"/>
  <c r="X891" i="7"/>
  <c r="W891" i="7"/>
  <c r="V891" i="7"/>
  <c r="U891" i="7"/>
  <c r="T891" i="7"/>
  <c r="S891" i="7"/>
  <c r="R891" i="7"/>
  <c r="Q891" i="7"/>
  <c r="P891" i="7"/>
  <c r="O891" i="7"/>
  <c r="N891" i="7"/>
  <c r="M891" i="7"/>
  <c r="L891" i="7"/>
  <c r="K891" i="7"/>
  <c r="J891" i="7"/>
  <c r="I891" i="7"/>
  <c r="H891" i="7"/>
  <c r="G891" i="7"/>
  <c r="F891" i="7"/>
  <c r="E891" i="7"/>
  <c r="AC890" i="7"/>
  <c r="D890" i="7" s="1"/>
  <c r="D889" i="7" s="1"/>
  <c r="B890" i="7"/>
  <c r="AE889" i="7"/>
  <c r="AD889" i="7"/>
  <c r="AC889" i="7"/>
  <c r="AB889" i="7"/>
  <c r="AA889" i="7"/>
  <c r="Z889" i="7"/>
  <c r="Y889" i="7"/>
  <c r="X889" i="7"/>
  <c r="W889" i="7"/>
  <c r="V889" i="7"/>
  <c r="U889" i="7"/>
  <c r="T889" i="7"/>
  <c r="S889" i="7"/>
  <c r="R889" i="7"/>
  <c r="Q889" i="7"/>
  <c r="P889" i="7"/>
  <c r="O889" i="7"/>
  <c r="N889" i="7"/>
  <c r="M889" i="7"/>
  <c r="L889" i="7"/>
  <c r="K889" i="7"/>
  <c r="J889" i="7"/>
  <c r="I889" i="7"/>
  <c r="H889" i="7"/>
  <c r="G889" i="7"/>
  <c r="F889" i="7"/>
  <c r="E889" i="7"/>
  <c r="AC888" i="7"/>
  <c r="D888" i="7" s="1"/>
  <c r="D887" i="7" s="1"/>
  <c r="B888" i="7"/>
  <c r="AE887" i="7"/>
  <c r="AD887" i="7"/>
  <c r="AB887" i="7"/>
  <c r="AA887" i="7"/>
  <c r="Z887" i="7"/>
  <c r="Y887" i="7"/>
  <c r="X887" i="7"/>
  <c r="W887" i="7"/>
  <c r="V887" i="7"/>
  <c r="U887" i="7"/>
  <c r="T887" i="7"/>
  <c r="S887" i="7"/>
  <c r="R887" i="7"/>
  <c r="Q887" i="7"/>
  <c r="P887" i="7"/>
  <c r="O887" i="7"/>
  <c r="N887" i="7"/>
  <c r="M887" i="7"/>
  <c r="L887" i="7"/>
  <c r="K887" i="7"/>
  <c r="J887" i="7"/>
  <c r="I887" i="7"/>
  <c r="H887" i="7"/>
  <c r="G887" i="7"/>
  <c r="F887" i="7"/>
  <c r="E887" i="7"/>
  <c r="AC886" i="7"/>
  <c r="D886" i="7" s="1"/>
  <c r="D885" i="7" s="1"/>
  <c r="B886" i="7"/>
  <c r="AE885" i="7"/>
  <c r="AD885" i="7"/>
  <c r="AB885" i="7"/>
  <c r="AA885" i="7"/>
  <c r="Z885" i="7"/>
  <c r="Y885" i="7"/>
  <c r="X885" i="7"/>
  <c r="W885" i="7"/>
  <c r="V885" i="7"/>
  <c r="U885" i="7"/>
  <c r="T885" i="7"/>
  <c r="S885" i="7"/>
  <c r="R885" i="7"/>
  <c r="Q885" i="7"/>
  <c r="P885" i="7"/>
  <c r="O885" i="7"/>
  <c r="N885" i="7"/>
  <c r="M885" i="7"/>
  <c r="L885" i="7"/>
  <c r="K885" i="7"/>
  <c r="J885" i="7"/>
  <c r="I885" i="7"/>
  <c r="H885" i="7"/>
  <c r="G885" i="7"/>
  <c r="F885" i="7"/>
  <c r="E885" i="7"/>
  <c r="AC884" i="7"/>
  <c r="D884" i="7" s="1"/>
  <c r="D883" i="7" s="1"/>
  <c r="B884" i="7"/>
  <c r="AE883" i="7"/>
  <c r="AD883" i="7"/>
  <c r="AC883" i="7"/>
  <c r="AB883" i="7"/>
  <c r="AA883" i="7"/>
  <c r="Z883" i="7"/>
  <c r="Y883" i="7"/>
  <c r="X883" i="7"/>
  <c r="W883" i="7"/>
  <c r="V883" i="7"/>
  <c r="U883" i="7"/>
  <c r="T883" i="7"/>
  <c r="S883" i="7"/>
  <c r="R883" i="7"/>
  <c r="Q883" i="7"/>
  <c r="P883" i="7"/>
  <c r="O883" i="7"/>
  <c r="N883" i="7"/>
  <c r="M883" i="7"/>
  <c r="L883" i="7"/>
  <c r="K883" i="7"/>
  <c r="J883" i="7"/>
  <c r="I883" i="7"/>
  <c r="H883" i="7"/>
  <c r="G883" i="7"/>
  <c r="F883" i="7"/>
  <c r="E883" i="7"/>
  <c r="AC882" i="7"/>
  <c r="D882" i="7" s="1"/>
  <c r="D881" i="7" s="1"/>
  <c r="B882" i="7"/>
  <c r="AE881" i="7"/>
  <c r="AD881" i="7"/>
  <c r="AC881" i="7"/>
  <c r="AB881" i="7"/>
  <c r="AA881" i="7"/>
  <c r="Z881" i="7"/>
  <c r="Y881" i="7"/>
  <c r="X881" i="7"/>
  <c r="W881" i="7"/>
  <c r="V881" i="7"/>
  <c r="U881" i="7"/>
  <c r="T881" i="7"/>
  <c r="S881" i="7"/>
  <c r="R881" i="7"/>
  <c r="Q881" i="7"/>
  <c r="P881" i="7"/>
  <c r="O881" i="7"/>
  <c r="N881" i="7"/>
  <c r="M881" i="7"/>
  <c r="L881" i="7"/>
  <c r="K881" i="7"/>
  <c r="J881" i="7"/>
  <c r="I881" i="7"/>
  <c r="H881" i="7"/>
  <c r="G881" i="7"/>
  <c r="F881" i="7"/>
  <c r="E881" i="7"/>
  <c r="AC880" i="7"/>
  <c r="D880" i="7" s="1"/>
  <c r="D879" i="7" s="1"/>
  <c r="B880" i="7"/>
  <c r="AE879" i="7"/>
  <c r="AD879" i="7"/>
  <c r="AB879" i="7"/>
  <c r="AA879" i="7"/>
  <c r="Z879" i="7"/>
  <c r="Y879" i="7"/>
  <c r="X879" i="7"/>
  <c r="W879" i="7"/>
  <c r="V879" i="7"/>
  <c r="U879" i="7"/>
  <c r="T879" i="7"/>
  <c r="S879" i="7"/>
  <c r="R879" i="7"/>
  <c r="Q879" i="7"/>
  <c r="P879" i="7"/>
  <c r="O879" i="7"/>
  <c r="N879" i="7"/>
  <c r="M879" i="7"/>
  <c r="L879" i="7"/>
  <c r="K879" i="7"/>
  <c r="J879" i="7"/>
  <c r="I879" i="7"/>
  <c r="H879" i="7"/>
  <c r="G879" i="7"/>
  <c r="F879" i="7"/>
  <c r="E879" i="7"/>
  <c r="AC878" i="7"/>
  <c r="D878" i="7" s="1"/>
  <c r="B878" i="7"/>
  <c r="AC877" i="7"/>
  <c r="D877" i="7" s="1"/>
  <c r="B877" i="7"/>
  <c r="AE876" i="7"/>
  <c r="AD876" i="7"/>
  <c r="AB876" i="7"/>
  <c r="AA876" i="7"/>
  <c r="Z876" i="7"/>
  <c r="Y876" i="7"/>
  <c r="X876" i="7"/>
  <c r="W876" i="7"/>
  <c r="V876" i="7"/>
  <c r="U876" i="7"/>
  <c r="T876" i="7"/>
  <c r="S876" i="7"/>
  <c r="R876" i="7"/>
  <c r="Q876" i="7"/>
  <c r="P876" i="7"/>
  <c r="O876" i="7"/>
  <c r="N876" i="7"/>
  <c r="M876" i="7"/>
  <c r="L876" i="7"/>
  <c r="K876" i="7"/>
  <c r="J876" i="7"/>
  <c r="I876" i="7"/>
  <c r="H876" i="7"/>
  <c r="G876" i="7"/>
  <c r="F876" i="7"/>
  <c r="E876" i="7"/>
  <c r="AC875" i="7"/>
  <c r="D875" i="7" s="1"/>
  <c r="B875" i="7"/>
  <c r="AC874" i="7"/>
  <c r="D874" i="7" s="1"/>
  <c r="B874" i="7"/>
  <c r="AC873" i="7"/>
  <c r="D873" i="7"/>
  <c r="B873" i="7"/>
  <c r="AC872" i="7"/>
  <c r="D872" i="7" s="1"/>
  <c r="B872" i="7"/>
  <c r="AE871" i="7"/>
  <c r="AD871" i="7"/>
  <c r="AB871" i="7"/>
  <c r="AA871" i="7"/>
  <c r="Z871" i="7"/>
  <c r="Y871" i="7"/>
  <c r="X871" i="7"/>
  <c r="W871" i="7"/>
  <c r="V871" i="7"/>
  <c r="U871" i="7"/>
  <c r="T871" i="7"/>
  <c r="S871" i="7"/>
  <c r="R871" i="7"/>
  <c r="Q871" i="7"/>
  <c r="P871" i="7"/>
  <c r="O871" i="7"/>
  <c r="N871" i="7"/>
  <c r="M871" i="7"/>
  <c r="L871" i="7"/>
  <c r="K871" i="7"/>
  <c r="J871" i="7"/>
  <c r="I871" i="7"/>
  <c r="H871" i="7"/>
  <c r="G871" i="7"/>
  <c r="F871" i="7"/>
  <c r="E871" i="7"/>
  <c r="AC870" i="7"/>
  <c r="D870" i="7"/>
  <c r="B870" i="7"/>
  <c r="AE869" i="7"/>
  <c r="AD869" i="7"/>
  <c r="AC869" i="7"/>
  <c r="AB869" i="7"/>
  <c r="AA869" i="7"/>
  <c r="Z869" i="7"/>
  <c r="Y869" i="7"/>
  <c r="X869" i="7"/>
  <c r="W869" i="7"/>
  <c r="V869" i="7"/>
  <c r="U869" i="7"/>
  <c r="T869" i="7"/>
  <c r="S869" i="7"/>
  <c r="R869" i="7"/>
  <c r="Q869" i="7"/>
  <c r="P869" i="7"/>
  <c r="O869" i="7"/>
  <c r="N869" i="7"/>
  <c r="M869" i="7"/>
  <c r="L869" i="7"/>
  <c r="K869" i="7"/>
  <c r="J869" i="7"/>
  <c r="I869" i="7"/>
  <c r="H869" i="7"/>
  <c r="G869" i="7"/>
  <c r="F869" i="7"/>
  <c r="E869" i="7"/>
  <c r="D869" i="7"/>
  <c r="AC868" i="7"/>
  <c r="D868" i="7" s="1"/>
  <c r="D867" i="7" s="1"/>
  <c r="B868" i="7"/>
  <c r="AE867" i="7"/>
  <c r="AD867" i="7"/>
  <c r="AB867" i="7"/>
  <c r="AA867" i="7"/>
  <c r="Z867" i="7"/>
  <c r="Y867" i="7"/>
  <c r="X867" i="7"/>
  <c r="W867" i="7"/>
  <c r="V867" i="7"/>
  <c r="U867" i="7"/>
  <c r="T867" i="7"/>
  <c r="S867" i="7"/>
  <c r="R867" i="7"/>
  <c r="Q867" i="7"/>
  <c r="P867" i="7"/>
  <c r="O867" i="7"/>
  <c r="N867" i="7"/>
  <c r="M867" i="7"/>
  <c r="L867" i="7"/>
  <c r="K867" i="7"/>
  <c r="J867" i="7"/>
  <c r="I867" i="7"/>
  <c r="H867" i="7"/>
  <c r="G867" i="7"/>
  <c r="F867" i="7"/>
  <c r="E867" i="7"/>
  <c r="AC866" i="7"/>
  <c r="D866" i="7" s="1"/>
  <c r="B866" i="7"/>
  <c r="AC865" i="7"/>
  <c r="D865" i="7" s="1"/>
  <c r="B865" i="7"/>
  <c r="AE864" i="7"/>
  <c r="AD864" i="7"/>
  <c r="AB864" i="7"/>
  <c r="AA864" i="7"/>
  <c r="Z864" i="7"/>
  <c r="Y864" i="7"/>
  <c r="X864" i="7"/>
  <c r="W864" i="7"/>
  <c r="V864" i="7"/>
  <c r="U864" i="7"/>
  <c r="T864" i="7"/>
  <c r="S864" i="7"/>
  <c r="R864" i="7"/>
  <c r="Q864" i="7"/>
  <c r="P864" i="7"/>
  <c r="O864" i="7"/>
  <c r="N864" i="7"/>
  <c r="M864" i="7"/>
  <c r="L864" i="7"/>
  <c r="K864" i="7"/>
  <c r="J864" i="7"/>
  <c r="I864" i="7"/>
  <c r="H864" i="7"/>
  <c r="G864" i="7"/>
  <c r="F864" i="7"/>
  <c r="E864" i="7"/>
  <c r="AC863" i="7"/>
  <c r="B863" i="7"/>
  <c r="AE862" i="7"/>
  <c r="AD862" i="7"/>
  <c r="AB862" i="7"/>
  <c r="AA862" i="7"/>
  <c r="Z862" i="7"/>
  <c r="Y862" i="7"/>
  <c r="X862" i="7"/>
  <c r="W862" i="7"/>
  <c r="V862" i="7"/>
  <c r="U862" i="7"/>
  <c r="T862" i="7"/>
  <c r="S862" i="7"/>
  <c r="R862" i="7"/>
  <c r="Q862" i="7"/>
  <c r="P862" i="7"/>
  <c r="O862" i="7"/>
  <c r="N862" i="7"/>
  <c r="M862" i="7"/>
  <c r="L862" i="7"/>
  <c r="K862" i="7"/>
  <c r="J862" i="7"/>
  <c r="I862" i="7"/>
  <c r="H862" i="7"/>
  <c r="G862" i="7"/>
  <c r="F862" i="7"/>
  <c r="E862" i="7"/>
  <c r="AC861" i="7"/>
  <c r="D861" i="7" s="1"/>
  <c r="B861" i="7"/>
  <c r="AC860" i="7"/>
  <c r="D860" i="7" s="1"/>
  <c r="B860" i="7"/>
  <c r="AC859" i="7"/>
  <c r="D859" i="7" s="1"/>
  <c r="B859" i="7"/>
  <c r="AC858" i="7"/>
  <c r="D858" i="7"/>
  <c r="B858" i="7"/>
  <c r="AT857" i="7"/>
  <c r="AC857" i="7"/>
  <c r="D857" i="7" s="1"/>
  <c r="B857" i="7"/>
  <c r="AC856" i="7"/>
  <c r="D856" i="7" s="1"/>
  <c r="B856" i="7"/>
  <c r="AC855" i="7"/>
  <c r="D855" i="7" s="1"/>
  <c r="B855" i="7"/>
  <c r="AC854" i="7"/>
  <c r="B854" i="7"/>
  <c r="AE853" i="7"/>
  <c r="AD853" i="7"/>
  <c r="AB853" i="7"/>
  <c r="AA853" i="7"/>
  <c r="Z853" i="7"/>
  <c r="Y853" i="7"/>
  <c r="X853" i="7"/>
  <c r="W853" i="7"/>
  <c r="V853" i="7"/>
  <c r="U853" i="7"/>
  <c r="T853" i="7"/>
  <c r="S853" i="7"/>
  <c r="R853" i="7"/>
  <c r="Q853" i="7"/>
  <c r="P853" i="7"/>
  <c r="O853" i="7"/>
  <c r="N853" i="7"/>
  <c r="M853" i="7"/>
  <c r="L853" i="7"/>
  <c r="K853" i="7"/>
  <c r="J853" i="7"/>
  <c r="I853" i="7"/>
  <c r="H853" i="7"/>
  <c r="G853" i="7"/>
  <c r="F853" i="7"/>
  <c r="E853" i="7"/>
  <c r="AD852" i="7"/>
  <c r="AC852" i="7"/>
  <c r="D852" i="7" s="1"/>
  <c r="D851" i="7" s="1"/>
  <c r="CB851" i="7" s="1"/>
  <c r="B852" i="7"/>
  <c r="AE851" i="7"/>
  <c r="AD851" i="7"/>
  <c r="AB851" i="7"/>
  <c r="AA851" i="7"/>
  <c r="Z851" i="7"/>
  <c r="Y851" i="7"/>
  <c r="X851" i="7"/>
  <c r="W851" i="7"/>
  <c r="V851" i="7"/>
  <c r="U851" i="7"/>
  <c r="T851" i="7"/>
  <c r="S851" i="7"/>
  <c r="R851" i="7"/>
  <c r="Q851" i="7"/>
  <c r="P851" i="7"/>
  <c r="O851" i="7"/>
  <c r="N851" i="7"/>
  <c r="M851" i="7"/>
  <c r="L851" i="7"/>
  <c r="K851" i="7"/>
  <c r="J851" i="7"/>
  <c r="I851" i="7"/>
  <c r="H851" i="7"/>
  <c r="G851" i="7"/>
  <c r="F851" i="7"/>
  <c r="E851" i="7"/>
  <c r="AC850" i="7"/>
  <c r="D850" i="7" s="1"/>
  <c r="D849" i="7" s="1"/>
  <c r="CB849" i="7" s="1"/>
  <c r="B850" i="7"/>
  <c r="AE849" i="7"/>
  <c r="AD849" i="7"/>
  <c r="AB849" i="7"/>
  <c r="AA849" i="7"/>
  <c r="Z849" i="7"/>
  <c r="Y849" i="7"/>
  <c r="X849" i="7"/>
  <c r="W849" i="7"/>
  <c r="V849" i="7"/>
  <c r="U849" i="7"/>
  <c r="T849" i="7"/>
  <c r="S849" i="7"/>
  <c r="R849" i="7"/>
  <c r="Q849" i="7"/>
  <c r="P849" i="7"/>
  <c r="O849" i="7"/>
  <c r="N849" i="7"/>
  <c r="M849" i="7"/>
  <c r="L849" i="7"/>
  <c r="K849" i="7"/>
  <c r="J849" i="7"/>
  <c r="I849" i="7"/>
  <c r="H849" i="7"/>
  <c r="G849" i="7"/>
  <c r="F849" i="7"/>
  <c r="E849" i="7"/>
  <c r="AC848" i="7"/>
  <c r="D848" i="7" s="1"/>
  <c r="D847" i="7" s="1"/>
  <c r="CB847" i="7" s="1"/>
  <c r="B848" i="7"/>
  <c r="AE847" i="7"/>
  <c r="AD847" i="7"/>
  <c r="AB847" i="7"/>
  <c r="AA847" i="7"/>
  <c r="Z847" i="7"/>
  <c r="Y847" i="7"/>
  <c r="X847" i="7"/>
  <c r="W847" i="7"/>
  <c r="V847" i="7"/>
  <c r="U847" i="7"/>
  <c r="T847" i="7"/>
  <c r="S847" i="7"/>
  <c r="R847" i="7"/>
  <c r="Q847" i="7"/>
  <c r="P847" i="7"/>
  <c r="O847" i="7"/>
  <c r="N847" i="7"/>
  <c r="M847" i="7"/>
  <c r="L847" i="7"/>
  <c r="K847" i="7"/>
  <c r="J847" i="7"/>
  <c r="I847" i="7"/>
  <c r="H847" i="7"/>
  <c r="G847" i="7"/>
  <c r="F847" i="7"/>
  <c r="E847" i="7"/>
  <c r="AC846" i="7"/>
  <c r="B846" i="7"/>
  <c r="AE845" i="7"/>
  <c r="AD845" i="7"/>
  <c r="AB845" i="7"/>
  <c r="AA845" i="7"/>
  <c r="Z845" i="7"/>
  <c r="Y845" i="7"/>
  <c r="X845" i="7"/>
  <c r="W845" i="7"/>
  <c r="V845" i="7"/>
  <c r="U845" i="7"/>
  <c r="T845" i="7"/>
  <c r="S845" i="7"/>
  <c r="R845" i="7"/>
  <c r="Q845" i="7"/>
  <c r="P845" i="7"/>
  <c r="O845" i="7"/>
  <c r="N845" i="7"/>
  <c r="M845" i="7"/>
  <c r="L845" i="7"/>
  <c r="K845" i="7"/>
  <c r="J845" i="7"/>
  <c r="I845" i="7"/>
  <c r="H845" i="7"/>
  <c r="G845" i="7"/>
  <c r="F845" i="7"/>
  <c r="E845" i="7"/>
  <c r="AC844" i="7"/>
  <c r="D844" i="7" s="1"/>
  <c r="D843" i="7" s="1"/>
  <c r="B844" i="7"/>
  <c r="AE843" i="7"/>
  <c r="AD843" i="7"/>
  <c r="AB843" i="7"/>
  <c r="AA843" i="7"/>
  <c r="Z843" i="7"/>
  <c r="Y843" i="7"/>
  <c r="X843" i="7"/>
  <c r="W843" i="7"/>
  <c r="V843" i="7"/>
  <c r="U843" i="7"/>
  <c r="T843" i="7"/>
  <c r="S843" i="7"/>
  <c r="R843" i="7"/>
  <c r="Q843" i="7"/>
  <c r="P843" i="7"/>
  <c r="O843" i="7"/>
  <c r="N843" i="7"/>
  <c r="M843" i="7"/>
  <c r="L843" i="7"/>
  <c r="K843" i="7"/>
  <c r="J843" i="7"/>
  <c r="I843" i="7"/>
  <c r="H843" i="7"/>
  <c r="G843" i="7"/>
  <c r="F843" i="7"/>
  <c r="E843" i="7"/>
  <c r="AC842" i="7"/>
  <c r="B842" i="7"/>
  <c r="AE841" i="7"/>
  <c r="AD841" i="7"/>
  <c r="AB841" i="7"/>
  <c r="AA841" i="7"/>
  <c r="Z841" i="7"/>
  <c r="Y841" i="7"/>
  <c r="X841" i="7"/>
  <c r="W841" i="7"/>
  <c r="V841" i="7"/>
  <c r="U841" i="7"/>
  <c r="T841" i="7"/>
  <c r="S841" i="7"/>
  <c r="R841" i="7"/>
  <c r="Q841" i="7"/>
  <c r="P841" i="7"/>
  <c r="O841" i="7"/>
  <c r="N841" i="7"/>
  <c r="M841" i="7"/>
  <c r="L841" i="7"/>
  <c r="K841" i="7"/>
  <c r="J841" i="7"/>
  <c r="I841" i="7"/>
  <c r="H841" i="7"/>
  <c r="G841" i="7"/>
  <c r="F841" i="7"/>
  <c r="E841" i="7"/>
  <c r="AC840" i="7"/>
  <c r="B840" i="7"/>
  <c r="AE839" i="7"/>
  <c r="AD839" i="7"/>
  <c r="AB839" i="7"/>
  <c r="AA839" i="7"/>
  <c r="Z839" i="7"/>
  <c r="Y839" i="7"/>
  <c r="X839" i="7"/>
  <c r="W839" i="7"/>
  <c r="V839" i="7"/>
  <c r="U839" i="7"/>
  <c r="T839" i="7"/>
  <c r="S839" i="7"/>
  <c r="R839" i="7"/>
  <c r="Q839" i="7"/>
  <c r="P839" i="7"/>
  <c r="O839" i="7"/>
  <c r="N839" i="7"/>
  <c r="M839" i="7"/>
  <c r="L839" i="7"/>
  <c r="K839" i="7"/>
  <c r="J839" i="7"/>
  <c r="I839" i="7"/>
  <c r="H839" i="7"/>
  <c r="G839" i="7"/>
  <c r="F839" i="7"/>
  <c r="E839" i="7"/>
  <c r="AC838" i="7"/>
  <c r="D838" i="7" s="1"/>
  <c r="B838" i="7"/>
  <c r="AC837" i="7"/>
  <c r="D837" i="7" s="1"/>
  <c r="B837" i="7"/>
  <c r="AC836" i="7"/>
  <c r="D836" i="7"/>
  <c r="B836" i="7"/>
  <c r="AT835" i="7"/>
  <c r="AC835" i="7"/>
  <c r="D835" i="7"/>
  <c r="B835" i="7"/>
  <c r="AE834" i="7"/>
  <c r="AD834" i="7"/>
  <c r="AB834" i="7"/>
  <c r="AA834" i="7"/>
  <c r="Z834" i="7"/>
  <c r="Y834" i="7"/>
  <c r="X834" i="7"/>
  <c r="W834" i="7"/>
  <c r="V834" i="7"/>
  <c r="U834" i="7"/>
  <c r="T834" i="7"/>
  <c r="S834" i="7"/>
  <c r="R834" i="7"/>
  <c r="Q834" i="7"/>
  <c r="P834" i="7"/>
  <c r="O834" i="7"/>
  <c r="N834" i="7"/>
  <c r="M834" i="7"/>
  <c r="L834" i="7"/>
  <c r="K834" i="7"/>
  <c r="J834" i="7"/>
  <c r="I834" i="7"/>
  <c r="H834" i="7"/>
  <c r="G834" i="7"/>
  <c r="F834" i="7"/>
  <c r="E834" i="7"/>
  <c r="AC833" i="7"/>
  <c r="D833" i="7" s="1"/>
  <c r="B833" i="7"/>
  <c r="AC832" i="7"/>
  <c r="D832" i="7" s="1"/>
  <c r="B832" i="7"/>
  <c r="AC831" i="7"/>
  <c r="D831" i="7" s="1"/>
  <c r="B831" i="7"/>
  <c r="AC830" i="7"/>
  <c r="D830" i="7" s="1"/>
  <c r="B830" i="7"/>
  <c r="AC829" i="7"/>
  <c r="D829" i="7" s="1"/>
  <c r="B829" i="7"/>
  <c r="AT828" i="7"/>
  <c r="AC828" i="7"/>
  <c r="B828" i="7"/>
  <c r="AE827" i="7"/>
  <c r="AD827" i="7"/>
  <c r="AB827" i="7"/>
  <c r="AA827" i="7"/>
  <c r="Z827" i="7"/>
  <c r="Y827" i="7"/>
  <c r="X827" i="7"/>
  <c r="W827" i="7"/>
  <c r="V827" i="7"/>
  <c r="U827" i="7"/>
  <c r="T827" i="7"/>
  <c r="S827" i="7"/>
  <c r="R827" i="7"/>
  <c r="Q827" i="7"/>
  <c r="P827" i="7"/>
  <c r="O827" i="7"/>
  <c r="N827" i="7"/>
  <c r="M827" i="7"/>
  <c r="L827" i="7"/>
  <c r="K827" i="7"/>
  <c r="J827" i="7"/>
  <c r="I827" i="7"/>
  <c r="H827" i="7"/>
  <c r="G827" i="7"/>
  <c r="F827" i="7"/>
  <c r="E827" i="7"/>
  <c r="AC826" i="7"/>
  <c r="D826" i="7" s="1"/>
  <c r="D825" i="7" s="1"/>
  <c r="B826" i="7"/>
  <c r="AE825" i="7"/>
  <c r="AD825" i="7"/>
  <c r="AC825" i="7"/>
  <c r="AB825" i="7"/>
  <c r="AA825" i="7"/>
  <c r="Z825" i="7"/>
  <c r="Y825" i="7"/>
  <c r="X825" i="7"/>
  <c r="W825" i="7"/>
  <c r="V825" i="7"/>
  <c r="U825" i="7"/>
  <c r="T825" i="7"/>
  <c r="S825" i="7"/>
  <c r="R825" i="7"/>
  <c r="Q825" i="7"/>
  <c r="P825" i="7"/>
  <c r="O825" i="7"/>
  <c r="N825" i="7"/>
  <c r="M825" i="7"/>
  <c r="L825" i="7"/>
  <c r="K825" i="7"/>
  <c r="J825" i="7"/>
  <c r="I825" i="7"/>
  <c r="H825" i="7"/>
  <c r="G825" i="7"/>
  <c r="F825" i="7"/>
  <c r="E825" i="7"/>
  <c r="AC824" i="7"/>
  <c r="D824" i="7" s="1"/>
  <c r="D823" i="7" s="1"/>
  <c r="B824" i="7"/>
  <c r="AE823" i="7"/>
  <c r="AD823" i="7"/>
  <c r="AB823" i="7"/>
  <c r="AA823" i="7"/>
  <c r="Z823" i="7"/>
  <c r="Y823" i="7"/>
  <c r="X823" i="7"/>
  <c r="W823" i="7"/>
  <c r="V823" i="7"/>
  <c r="U823" i="7"/>
  <c r="T823" i="7"/>
  <c r="S823" i="7"/>
  <c r="R823" i="7"/>
  <c r="Q823" i="7"/>
  <c r="P823" i="7"/>
  <c r="O823" i="7"/>
  <c r="N823" i="7"/>
  <c r="M823" i="7"/>
  <c r="L823" i="7"/>
  <c r="K823" i="7"/>
  <c r="J823" i="7"/>
  <c r="I823" i="7"/>
  <c r="H823" i="7"/>
  <c r="G823" i="7"/>
  <c r="F823" i="7"/>
  <c r="E823" i="7"/>
  <c r="AC822" i="7"/>
  <c r="D822" i="7" s="1"/>
  <c r="B822" i="7"/>
  <c r="AC821" i="7"/>
  <c r="D821" i="7" s="1"/>
  <c r="B821" i="7"/>
  <c r="AE820" i="7"/>
  <c r="AD820" i="7"/>
  <c r="AB820" i="7"/>
  <c r="AA820" i="7"/>
  <c r="Z820" i="7"/>
  <c r="Y820" i="7"/>
  <c r="X820" i="7"/>
  <c r="W820" i="7"/>
  <c r="V820" i="7"/>
  <c r="U820" i="7"/>
  <c r="T820" i="7"/>
  <c r="S820" i="7"/>
  <c r="R820" i="7"/>
  <c r="Q820" i="7"/>
  <c r="P820" i="7"/>
  <c r="O820" i="7"/>
  <c r="N820" i="7"/>
  <c r="M820" i="7"/>
  <c r="L820" i="7"/>
  <c r="K820" i="7"/>
  <c r="J820" i="7"/>
  <c r="I820" i="7"/>
  <c r="H820" i="7"/>
  <c r="G820" i="7"/>
  <c r="F820" i="7"/>
  <c r="E820" i="7"/>
  <c r="AC819" i="7"/>
  <c r="AC818" i="7" s="1"/>
  <c r="D819" i="7"/>
  <c r="D818" i="7" s="1"/>
  <c r="B819" i="7"/>
  <c r="AE818" i="7"/>
  <c r="AD818" i="7"/>
  <c r="AB818" i="7"/>
  <c r="AA818" i="7"/>
  <c r="Z818" i="7"/>
  <c r="Y818" i="7"/>
  <c r="X818" i="7"/>
  <c r="W818" i="7"/>
  <c r="V818" i="7"/>
  <c r="U818" i="7"/>
  <c r="T818" i="7"/>
  <c r="S818" i="7"/>
  <c r="R818" i="7"/>
  <c r="Q818" i="7"/>
  <c r="P818" i="7"/>
  <c r="O818" i="7"/>
  <c r="N818" i="7"/>
  <c r="M818" i="7"/>
  <c r="L818" i="7"/>
  <c r="K818" i="7"/>
  <c r="J818" i="7"/>
  <c r="I818" i="7"/>
  <c r="H818" i="7"/>
  <c r="G818" i="7"/>
  <c r="F818" i="7"/>
  <c r="E818" i="7"/>
  <c r="AC817" i="7"/>
  <c r="D817" i="7" s="1"/>
  <c r="B817" i="7"/>
  <c r="AC816" i="7"/>
  <c r="D816" i="7" s="1"/>
  <c r="B816" i="7"/>
  <c r="AE815" i="7"/>
  <c r="AD815" i="7"/>
  <c r="AB815" i="7"/>
  <c r="AA815" i="7"/>
  <c r="Z815" i="7"/>
  <c r="Y815" i="7"/>
  <c r="X815" i="7"/>
  <c r="W815" i="7"/>
  <c r="V815" i="7"/>
  <c r="U815" i="7"/>
  <c r="T815" i="7"/>
  <c r="S815" i="7"/>
  <c r="R815" i="7"/>
  <c r="Q815" i="7"/>
  <c r="P815" i="7"/>
  <c r="O815" i="7"/>
  <c r="N815" i="7"/>
  <c r="M815" i="7"/>
  <c r="L815" i="7"/>
  <c r="K815" i="7"/>
  <c r="J815" i="7"/>
  <c r="I815" i="7"/>
  <c r="H815" i="7"/>
  <c r="G815" i="7"/>
  <c r="F815" i="7"/>
  <c r="E815" i="7"/>
  <c r="AC814" i="7"/>
  <c r="D814" i="7" s="1"/>
  <c r="B814" i="7"/>
  <c r="AC813" i="7"/>
  <c r="D813" i="7"/>
  <c r="B813" i="7"/>
  <c r="AC812" i="7"/>
  <c r="D812" i="7" s="1"/>
  <c r="B812" i="7"/>
  <c r="AC811" i="7"/>
  <c r="D811" i="7" s="1"/>
  <c r="B811" i="7"/>
  <c r="AE810" i="7"/>
  <c r="AD810" i="7"/>
  <c r="AB810" i="7"/>
  <c r="AA810" i="7"/>
  <c r="Z810" i="7"/>
  <c r="Y810" i="7"/>
  <c r="X810" i="7"/>
  <c r="W810" i="7"/>
  <c r="V810" i="7"/>
  <c r="U810" i="7"/>
  <c r="T810" i="7"/>
  <c r="S810" i="7"/>
  <c r="R810" i="7"/>
  <c r="Q810" i="7"/>
  <c r="P810" i="7"/>
  <c r="O810" i="7"/>
  <c r="N810" i="7"/>
  <c r="M810" i="7"/>
  <c r="L810" i="7"/>
  <c r="K810" i="7"/>
  <c r="J810" i="7"/>
  <c r="I810" i="7"/>
  <c r="H810" i="7"/>
  <c r="G810" i="7"/>
  <c r="F810" i="7"/>
  <c r="E810" i="7"/>
  <c r="AC809" i="7"/>
  <c r="B809" i="7"/>
  <c r="AC808" i="7"/>
  <c r="D808" i="7" s="1"/>
  <c r="B808" i="7"/>
  <c r="AE807" i="7"/>
  <c r="AD807" i="7"/>
  <c r="AB807" i="7"/>
  <c r="AA807" i="7"/>
  <c r="Z807" i="7"/>
  <c r="Y807" i="7"/>
  <c r="X807" i="7"/>
  <c r="W807" i="7"/>
  <c r="V807" i="7"/>
  <c r="U807" i="7"/>
  <c r="T807" i="7"/>
  <c r="S807" i="7"/>
  <c r="R807" i="7"/>
  <c r="Q807" i="7"/>
  <c r="P807" i="7"/>
  <c r="O807" i="7"/>
  <c r="N807" i="7"/>
  <c r="M807" i="7"/>
  <c r="L807" i="7"/>
  <c r="K807" i="7"/>
  <c r="J807" i="7"/>
  <c r="I807" i="7"/>
  <c r="H807" i="7"/>
  <c r="G807" i="7"/>
  <c r="F807" i="7"/>
  <c r="E807" i="7"/>
  <c r="AC806" i="7"/>
  <c r="D806" i="7" s="1"/>
  <c r="B806" i="7"/>
  <c r="AC805" i="7"/>
  <c r="D805" i="7" s="1"/>
  <c r="B805" i="7"/>
  <c r="AC804" i="7"/>
  <c r="D804" i="7"/>
  <c r="B804" i="7"/>
  <c r="AC803" i="7"/>
  <c r="D803" i="7" s="1"/>
  <c r="B803" i="7"/>
  <c r="AC802" i="7"/>
  <c r="D802" i="7" s="1"/>
  <c r="N802" i="7"/>
  <c r="B802" i="7"/>
  <c r="AC801" i="7"/>
  <c r="D801" i="7"/>
  <c r="B801" i="7"/>
  <c r="AC800" i="7"/>
  <c r="D800" i="7" s="1"/>
  <c r="B800" i="7"/>
  <c r="D799" i="7"/>
  <c r="B799" i="7"/>
  <c r="AC798" i="7"/>
  <c r="D798" i="7" s="1"/>
  <c r="B798" i="7"/>
  <c r="AC797" i="7"/>
  <c r="D797" i="7" s="1"/>
  <c r="B797" i="7"/>
  <c r="AC796" i="7"/>
  <c r="D796" i="7" s="1"/>
  <c r="B796" i="7"/>
  <c r="AT795" i="7"/>
  <c r="AC795" i="7"/>
  <c r="D795" i="7" s="1"/>
  <c r="B795" i="7"/>
  <c r="AC794" i="7"/>
  <c r="D794" i="7" s="1"/>
  <c r="B794" i="7"/>
  <c r="AT793" i="7"/>
  <c r="AC793" i="7"/>
  <c r="D793" i="7" s="1"/>
  <c r="B793" i="7"/>
  <c r="AC792" i="7"/>
  <c r="D792" i="7"/>
  <c r="B792" i="7"/>
  <c r="AC791" i="7"/>
  <c r="D791" i="7" s="1"/>
  <c r="B791" i="7"/>
  <c r="AC790" i="7"/>
  <c r="D790" i="7" s="1"/>
  <c r="B790" i="7"/>
  <c r="AE789" i="7"/>
  <c r="AD789" i="7"/>
  <c r="AB789" i="7"/>
  <c r="AA789" i="7"/>
  <c r="Z789" i="7"/>
  <c r="Y789" i="7"/>
  <c r="X789" i="7"/>
  <c r="W789" i="7"/>
  <c r="V789" i="7"/>
  <c r="U789" i="7"/>
  <c r="T789" i="7"/>
  <c r="S789" i="7"/>
  <c r="R789" i="7"/>
  <c r="Q789" i="7"/>
  <c r="P789" i="7"/>
  <c r="O789" i="7"/>
  <c r="N789" i="7"/>
  <c r="M789" i="7"/>
  <c r="L789" i="7"/>
  <c r="K789" i="7"/>
  <c r="J789" i="7"/>
  <c r="I789" i="7"/>
  <c r="H789" i="7"/>
  <c r="G789" i="7"/>
  <c r="F789" i="7"/>
  <c r="E789" i="7"/>
  <c r="AC788" i="7"/>
  <c r="D788" i="7" s="1"/>
  <c r="B788" i="7"/>
  <c r="AC787" i="7"/>
  <c r="D787" i="7"/>
  <c r="B787" i="7"/>
  <c r="D786" i="7"/>
  <c r="B786" i="7"/>
  <c r="AE785" i="7"/>
  <c r="AD785" i="7"/>
  <c r="AB785" i="7"/>
  <c r="AA785" i="7"/>
  <c r="Z785" i="7"/>
  <c r="Y785" i="7"/>
  <c r="X785" i="7"/>
  <c r="W785" i="7"/>
  <c r="V785" i="7"/>
  <c r="U785" i="7"/>
  <c r="T785" i="7"/>
  <c r="S785" i="7"/>
  <c r="R785" i="7"/>
  <c r="Q785" i="7"/>
  <c r="P785" i="7"/>
  <c r="O785" i="7"/>
  <c r="N785" i="7"/>
  <c r="M785" i="7"/>
  <c r="L785" i="7"/>
  <c r="K785" i="7"/>
  <c r="J785" i="7"/>
  <c r="I785" i="7"/>
  <c r="H785" i="7"/>
  <c r="G785" i="7"/>
  <c r="F785" i="7"/>
  <c r="E785" i="7"/>
  <c r="D784" i="7"/>
  <c r="B784" i="7"/>
  <c r="D783" i="7"/>
  <c r="B783" i="7"/>
  <c r="D782" i="7"/>
  <c r="B782" i="7"/>
  <c r="D781" i="7"/>
  <c r="B781" i="7"/>
  <c r="D780" i="7"/>
  <c r="B780" i="7"/>
  <c r="D779" i="7"/>
  <c r="B779" i="7"/>
  <c r="D778" i="7"/>
  <c r="B778" i="7"/>
  <c r="D777" i="7"/>
  <c r="B777" i="7"/>
  <c r="D776" i="7"/>
  <c r="B776" i="7"/>
  <c r="D775" i="7"/>
  <c r="B775" i="7"/>
  <c r="D774" i="7"/>
  <c r="B774" i="7"/>
  <c r="AC773" i="7"/>
  <c r="D773" i="7" s="1"/>
  <c r="B773" i="7"/>
  <c r="D772" i="7"/>
  <c r="B772" i="7"/>
  <c r="D771" i="7"/>
  <c r="B771" i="7"/>
  <c r="AC770" i="7"/>
  <c r="D770" i="7" s="1"/>
  <c r="N770" i="7"/>
  <c r="B770" i="7"/>
  <c r="D769" i="7"/>
  <c r="B769" i="7"/>
  <c r="AC768" i="7"/>
  <c r="D768" i="7" s="1"/>
  <c r="B768" i="7"/>
  <c r="D767" i="7"/>
  <c r="B767" i="7"/>
  <c r="D766" i="7"/>
  <c r="B766" i="7"/>
  <c r="AC765" i="7"/>
  <c r="B765" i="7"/>
  <c r="AE764" i="7"/>
  <c r="AD764" i="7"/>
  <c r="AB764" i="7"/>
  <c r="AA764" i="7"/>
  <c r="Z764" i="7"/>
  <c r="Y764" i="7"/>
  <c r="X764" i="7"/>
  <c r="W764" i="7"/>
  <c r="V764" i="7"/>
  <c r="U764" i="7"/>
  <c r="T764" i="7"/>
  <c r="S764" i="7"/>
  <c r="R764" i="7"/>
  <c r="Q764" i="7"/>
  <c r="P764" i="7"/>
  <c r="O764" i="7"/>
  <c r="N764" i="7"/>
  <c r="M764" i="7"/>
  <c r="L764" i="7"/>
  <c r="K764" i="7"/>
  <c r="J764" i="7"/>
  <c r="I764" i="7"/>
  <c r="H764" i="7"/>
  <c r="G764" i="7"/>
  <c r="F764" i="7"/>
  <c r="E764" i="7"/>
  <c r="AC763" i="7"/>
  <c r="D763" i="7" s="1"/>
  <c r="B763" i="7"/>
  <c r="AC762" i="7"/>
  <c r="D762" i="7" s="1"/>
  <c r="B762" i="7"/>
  <c r="AC761" i="7"/>
  <c r="D761" i="7" s="1"/>
  <c r="B761" i="7"/>
  <c r="AC760" i="7"/>
  <c r="D760" i="7" s="1"/>
  <c r="B760" i="7"/>
  <c r="AC759" i="7"/>
  <c r="D759" i="7" s="1"/>
  <c r="B759" i="7"/>
  <c r="AC758" i="7"/>
  <c r="D758" i="7" s="1"/>
  <c r="B758" i="7"/>
  <c r="AC757" i="7"/>
  <c r="D757" i="7" s="1"/>
  <c r="B757" i="7"/>
  <c r="AC756" i="7"/>
  <c r="D756" i="7" s="1"/>
  <c r="B756" i="7"/>
  <c r="AC755" i="7"/>
  <c r="D755" i="7" s="1"/>
  <c r="B755" i="7"/>
  <c r="AC754" i="7"/>
  <c r="D754" i="7" s="1"/>
  <c r="B754" i="7"/>
  <c r="AC753" i="7"/>
  <c r="D753" i="7" s="1"/>
  <c r="B753" i="7"/>
  <c r="AC752" i="7"/>
  <c r="D752" i="7" s="1"/>
  <c r="B752" i="7"/>
  <c r="AC751" i="7"/>
  <c r="D751" i="7" s="1"/>
  <c r="B751" i="7"/>
  <c r="AC750" i="7"/>
  <c r="D750" i="7" s="1"/>
  <c r="B750" i="7"/>
  <c r="AC749" i="7"/>
  <c r="D749" i="7" s="1"/>
  <c r="B749" i="7"/>
  <c r="AC748" i="7"/>
  <c r="D748" i="7" s="1"/>
  <c r="B748" i="7"/>
  <c r="AC747" i="7"/>
  <c r="D747" i="7" s="1"/>
  <c r="B747" i="7"/>
  <c r="AC746" i="7"/>
  <c r="D746" i="7" s="1"/>
  <c r="B746" i="7"/>
  <c r="AC745" i="7"/>
  <c r="D745" i="7" s="1"/>
  <c r="B745" i="7"/>
  <c r="AC744" i="7"/>
  <c r="D744" i="7" s="1"/>
  <c r="B744" i="7"/>
  <c r="AC743" i="7"/>
  <c r="D743" i="7" s="1"/>
  <c r="B743" i="7"/>
  <c r="AC742" i="7"/>
  <c r="D742" i="7" s="1"/>
  <c r="B742" i="7"/>
  <c r="AC741" i="7"/>
  <c r="D741" i="7" s="1"/>
  <c r="B741" i="7"/>
  <c r="AC740" i="7"/>
  <c r="D740" i="7" s="1"/>
  <c r="B740" i="7"/>
  <c r="AC739" i="7"/>
  <c r="D739" i="7" s="1"/>
  <c r="B739" i="7"/>
  <c r="AC738" i="7"/>
  <c r="D738" i="7" s="1"/>
  <c r="B738" i="7"/>
  <c r="AC737" i="7"/>
  <c r="D737" i="7" s="1"/>
  <c r="B737" i="7"/>
  <c r="AC736" i="7"/>
  <c r="D736" i="7" s="1"/>
  <c r="B736" i="7"/>
  <c r="AC735" i="7"/>
  <c r="D735" i="7" s="1"/>
  <c r="B735" i="7"/>
  <c r="AC734" i="7"/>
  <c r="D734" i="7" s="1"/>
  <c r="B734" i="7"/>
  <c r="AC733" i="7"/>
  <c r="D733" i="7" s="1"/>
  <c r="B733" i="7"/>
  <c r="AC732" i="7"/>
  <c r="D732" i="7" s="1"/>
  <c r="B732" i="7"/>
  <c r="AC731" i="7"/>
  <c r="D731" i="7" s="1"/>
  <c r="B731" i="7"/>
  <c r="AC730" i="7"/>
  <c r="D730" i="7" s="1"/>
  <c r="N730" i="7"/>
  <c r="B730" i="7"/>
  <c r="AC729" i="7"/>
  <c r="D729" i="7" s="1"/>
  <c r="B729" i="7"/>
  <c r="AC728" i="7"/>
  <c r="D728" i="7" s="1"/>
  <c r="B728" i="7"/>
  <c r="AC727" i="7"/>
  <c r="D727" i="7" s="1"/>
  <c r="B727" i="7"/>
  <c r="AC726" i="7"/>
  <c r="D726" i="7" s="1"/>
  <c r="B726" i="7"/>
  <c r="AC725" i="7"/>
  <c r="D725" i="7" s="1"/>
  <c r="B725" i="7"/>
  <c r="AC724" i="7"/>
  <c r="D724" i="7" s="1"/>
  <c r="B724" i="7"/>
  <c r="AC723" i="7"/>
  <c r="D723" i="7" s="1"/>
  <c r="B723" i="7"/>
  <c r="AC722" i="7"/>
  <c r="D722" i="7" s="1"/>
  <c r="B722" i="7"/>
  <c r="AC721" i="7"/>
  <c r="D721" i="7" s="1"/>
  <c r="B721" i="7"/>
  <c r="AC720" i="7"/>
  <c r="D720" i="7" s="1"/>
  <c r="B720" i="7"/>
  <c r="AC719" i="7"/>
  <c r="D719" i="7" s="1"/>
  <c r="B719" i="7"/>
  <c r="AC718" i="7"/>
  <c r="D718" i="7" s="1"/>
  <c r="B718" i="7"/>
  <c r="AC717" i="7"/>
  <c r="D717" i="7" s="1"/>
  <c r="B717" i="7"/>
  <c r="AC716" i="7"/>
  <c r="D716" i="7" s="1"/>
  <c r="B716" i="7"/>
  <c r="AC715" i="7"/>
  <c r="D715" i="7" s="1"/>
  <c r="B715" i="7"/>
  <c r="AC714" i="7"/>
  <c r="D714" i="7" s="1"/>
  <c r="B714" i="7"/>
  <c r="AC713" i="7"/>
  <c r="D713" i="7" s="1"/>
  <c r="B713" i="7"/>
  <c r="AC712" i="7"/>
  <c r="D712" i="7" s="1"/>
  <c r="B712" i="7"/>
  <c r="AC711" i="7"/>
  <c r="D711" i="7" s="1"/>
  <c r="B711" i="7"/>
  <c r="AC710" i="7"/>
  <c r="D710" i="7" s="1"/>
  <c r="B710" i="7"/>
  <c r="AC709" i="7"/>
  <c r="D709" i="7"/>
  <c r="B709" i="7"/>
  <c r="AC708" i="7"/>
  <c r="D708" i="7" s="1"/>
  <c r="B708" i="7"/>
  <c r="AT707" i="7"/>
  <c r="D707" i="7"/>
  <c r="B707" i="7"/>
  <c r="AC706" i="7"/>
  <c r="D706" i="7" s="1"/>
  <c r="B706" i="7"/>
  <c r="AE705" i="7"/>
  <c r="AD705" i="7"/>
  <c r="AB705" i="7"/>
  <c r="AA705" i="7"/>
  <c r="Z705" i="7"/>
  <c r="Y705" i="7"/>
  <c r="X705" i="7"/>
  <c r="W705" i="7"/>
  <c r="V705" i="7"/>
  <c r="U705" i="7"/>
  <c r="T705" i="7"/>
  <c r="S705" i="7"/>
  <c r="R705" i="7"/>
  <c r="Q705" i="7"/>
  <c r="P705" i="7"/>
  <c r="O705" i="7"/>
  <c r="N705" i="7"/>
  <c r="M705" i="7"/>
  <c r="L705" i="7"/>
  <c r="K705" i="7"/>
  <c r="J705" i="7"/>
  <c r="I705" i="7"/>
  <c r="H705" i="7"/>
  <c r="G705" i="7"/>
  <c r="F705" i="7"/>
  <c r="E705" i="7"/>
  <c r="AD704" i="7"/>
  <c r="AC704" i="7"/>
  <c r="D704" i="7" s="1"/>
  <c r="B704" i="7"/>
  <c r="AC703" i="7"/>
  <c r="D703" i="7" s="1"/>
  <c r="B703" i="7"/>
  <c r="AC702" i="7"/>
  <c r="D702" i="7" s="1"/>
  <c r="B702" i="7"/>
  <c r="AC701" i="7"/>
  <c r="D701" i="7" s="1"/>
  <c r="B701" i="7"/>
  <c r="AC700" i="7"/>
  <c r="D700" i="7"/>
  <c r="B700" i="7"/>
  <c r="AC699" i="7"/>
  <c r="D699" i="7"/>
  <c r="B699" i="7"/>
  <c r="AC698" i="7"/>
  <c r="D698" i="7" s="1"/>
  <c r="B698" i="7"/>
  <c r="AC697" i="7"/>
  <c r="D697" i="7" s="1"/>
  <c r="B697" i="7"/>
  <c r="AC696" i="7"/>
  <c r="D696" i="7" s="1"/>
  <c r="B696" i="7"/>
  <c r="AC695" i="7"/>
  <c r="D695" i="7" s="1"/>
  <c r="E695" i="7"/>
  <c r="B695" i="7"/>
  <c r="AC694" i="7"/>
  <c r="D694" i="7" s="1"/>
  <c r="B694" i="7"/>
  <c r="AC693" i="7"/>
  <c r="D693" i="7" s="1"/>
  <c r="B693" i="7"/>
  <c r="AC692" i="7"/>
  <c r="D692" i="7" s="1"/>
  <c r="B692" i="7"/>
  <c r="AC691" i="7"/>
  <c r="D691" i="7" s="1"/>
  <c r="B691" i="7"/>
  <c r="AC690" i="7"/>
  <c r="D690" i="7" s="1"/>
  <c r="B690" i="7"/>
  <c r="AC689" i="7"/>
  <c r="D689" i="7"/>
  <c r="B689" i="7"/>
  <c r="AC688" i="7"/>
  <c r="D688" i="7" s="1"/>
  <c r="B688" i="7"/>
  <c r="AE687" i="7"/>
  <c r="AD687" i="7"/>
  <c r="AB687" i="7"/>
  <c r="AA687" i="7"/>
  <c r="Z687" i="7"/>
  <c r="Y687" i="7"/>
  <c r="X687" i="7"/>
  <c r="W687" i="7"/>
  <c r="V687" i="7"/>
  <c r="U687" i="7"/>
  <c r="T687" i="7"/>
  <c r="S687" i="7"/>
  <c r="R687" i="7"/>
  <c r="Q687" i="7"/>
  <c r="P687" i="7"/>
  <c r="O687" i="7"/>
  <c r="N687" i="7"/>
  <c r="M687" i="7"/>
  <c r="L687" i="7"/>
  <c r="K687" i="7"/>
  <c r="J687" i="7"/>
  <c r="I687" i="7"/>
  <c r="H687" i="7"/>
  <c r="G687" i="7"/>
  <c r="F687" i="7"/>
  <c r="E687" i="7"/>
  <c r="D686" i="7"/>
  <c r="B686" i="7"/>
  <c r="D685" i="7"/>
  <c r="B685" i="7"/>
  <c r="D684" i="7"/>
  <c r="B684" i="7"/>
  <c r="D683" i="7"/>
  <c r="B683" i="7"/>
  <c r="D682" i="7"/>
  <c r="B682" i="7"/>
  <c r="D681" i="7"/>
  <c r="B681" i="7"/>
  <c r="D680" i="7"/>
  <c r="B680" i="7"/>
  <c r="D679" i="7"/>
  <c r="B679" i="7"/>
  <c r="D678" i="7"/>
  <c r="B678" i="7"/>
  <c r="D677" i="7"/>
  <c r="B677" i="7"/>
  <c r="D676" i="7"/>
  <c r="B676" i="7"/>
  <c r="D675" i="7"/>
  <c r="B675" i="7"/>
  <c r="D674" i="7"/>
  <c r="B674" i="7"/>
  <c r="D673" i="7"/>
  <c r="B673" i="7"/>
  <c r="D672" i="7"/>
  <c r="B672" i="7"/>
  <c r="D671" i="7"/>
  <c r="B671" i="7"/>
  <c r="D670" i="7"/>
  <c r="B670" i="7"/>
  <c r="D669" i="7"/>
  <c r="B669" i="7"/>
  <c r="D668" i="7"/>
  <c r="B668" i="7"/>
  <c r="D667" i="7"/>
  <c r="B667" i="7"/>
  <c r="D666" i="7"/>
  <c r="B666" i="7"/>
  <c r="D665" i="7"/>
  <c r="B665" i="7"/>
  <c r="D664" i="7"/>
  <c r="B664" i="7"/>
  <c r="D663" i="7"/>
  <c r="B663" i="7"/>
  <c r="D662" i="7"/>
  <c r="B662" i="7"/>
  <c r="D661" i="7"/>
  <c r="B661" i="7"/>
  <c r="D660" i="7"/>
  <c r="B660" i="7"/>
  <c r="D659" i="7"/>
  <c r="B659" i="7"/>
  <c r="D658" i="7"/>
  <c r="B658" i="7"/>
  <c r="D657" i="7"/>
  <c r="B657" i="7"/>
  <c r="D656" i="7"/>
  <c r="B656" i="7"/>
  <c r="D655" i="7"/>
  <c r="B655" i="7"/>
  <c r="D654" i="7"/>
  <c r="B654" i="7"/>
  <c r="D653" i="7"/>
  <c r="B653" i="7"/>
  <c r="D652" i="7"/>
  <c r="B652" i="7"/>
  <c r="D651" i="7"/>
  <c r="B651" i="7"/>
  <c r="D650" i="7"/>
  <c r="B650" i="7"/>
  <c r="D649" i="7"/>
  <c r="B649" i="7"/>
  <c r="D648" i="7"/>
  <c r="B648" i="7"/>
  <c r="D647" i="7"/>
  <c r="B647" i="7"/>
  <c r="D646" i="7"/>
  <c r="B646" i="7"/>
  <c r="D645" i="7"/>
  <c r="B645" i="7"/>
  <c r="D644" i="7"/>
  <c r="B644" i="7"/>
  <c r="D643" i="7"/>
  <c r="B643" i="7"/>
  <c r="D642" i="7"/>
  <c r="B642" i="7"/>
  <c r="D641" i="7"/>
  <c r="B641" i="7"/>
  <c r="D640" i="7"/>
  <c r="B640" i="7"/>
  <c r="D639" i="7"/>
  <c r="B639" i="7"/>
  <c r="D638" i="7"/>
  <c r="B638" i="7"/>
  <c r="D637" i="7"/>
  <c r="B637" i="7"/>
  <c r="D636" i="7"/>
  <c r="B636" i="7"/>
  <c r="D635" i="7"/>
  <c r="B635" i="7"/>
  <c r="D634" i="7"/>
  <c r="B634" i="7"/>
  <c r="D633" i="7"/>
  <c r="B633" i="7"/>
  <c r="D632" i="7"/>
  <c r="B632" i="7"/>
  <c r="D631" i="7"/>
  <c r="B631" i="7"/>
  <c r="D630" i="7"/>
  <c r="B630" i="7"/>
  <c r="D629" i="7"/>
  <c r="B629" i="7"/>
  <c r="D628" i="7"/>
  <c r="B628" i="7"/>
  <c r="D627" i="7"/>
  <c r="B627" i="7"/>
  <c r="D626" i="7"/>
  <c r="B626" i="7"/>
  <c r="D625" i="7"/>
  <c r="B625" i="7"/>
  <c r="D624" i="7"/>
  <c r="B624" i="7"/>
  <c r="D623" i="7"/>
  <c r="B623" i="7"/>
  <c r="D622" i="7"/>
  <c r="B622" i="7"/>
  <c r="D621" i="7"/>
  <c r="B621" i="7"/>
  <c r="CD620" i="7"/>
  <c r="D620" i="7"/>
  <c r="B620" i="7"/>
  <c r="D619" i="7"/>
  <c r="B619" i="7"/>
  <c r="CD618" i="7"/>
  <c r="D618" i="7"/>
  <c r="B618" i="7"/>
  <c r="CD617" i="7"/>
  <c r="D617" i="7"/>
  <c r="B617" i="7"/>
  <c r="D616" i="7"/>
  <c r="B616" i="7"/>
  <c r="D615" i="7"/>
  <c r="B615" i="7"/>
  <c r="D614" i="7"/>
  <c r="B614" i="7"/>
  <c r="D613" i="7"/>
  <c r="B613" i="7"/>
  <c r="D612" i="7"/>
  <c r="B612" i="7"/>
  <c r="D611" i="7"/>
  <c r="B611" i="7"/>
  <c r="D610" i="7"/>
  <c r="B610" i="7"/>
  <c r="D609" i="7"/>
  <c r="B609" i="7"/>
  <c r="D608" i="7"/>
  <c r="B608" i="7"/>
  <c r="D607" i="7"/>
  <c r="B607" i="7"/>
  <c r="D606" i="7"/>
  <c r="B606" i="7"/>
  <c r="D605" i="7"/>
  <c r="B605" i="7"/>
  <c r="D604" i="7"/>
  <c r="B604" i="7"/>
  <c r="D603" i="7"/>
  <c r="B603" i="7"/>
  <c r="D602" i="7"/>
  <c r="B602" i="7"/>
  <c r="D601" i="7"/>
  <c r="B601" i="7"/>
  <c r="D600" i="7"/>
  <c r="B600" i="7"/>
  <c r="D599" i="7"/>
  <c r="B599" i="7"/>
  <c r="D598" i="7"/>
  <c r="B598" i="7"/>
  <c r="D597" i="7"/>
  <c r="B597" i="7"/>
  <c r="D596" i="7"/>
  <c r="B596" i="7"/>
  <c r="D595" i="7"/>
  <c r="B595" i="7"/>
  <c r="D594" i="7"/>
  <c r="B594" i="7"/>
  <c r="D593" i="7"/>
  <c r="B593" i="7"/>
  <c r="D592" i="7"/>
  <c r="B592" i="7"/>
  <c r="D591" i="7"/>
  <c r="B591" i="7"/>
  <c r="D590" i="7"/>
  <c r="B590" i="7"/>
  <c r="D589" i="7"/>
  <c r="B589" i="7"/>
  <c r="D588" i="7"/>
  <c r="B588" i="7"/>
  <c r="D587" i="7"/>
  <c r="B587" i="7"/>
  <c r="D586" i="7"/>
  <c r="B586" i="7"/>
  <c r="D585" i="7"/>
  <c r="B585" i="7"/>
  <c r="D584" i="7"/>
  <c r="B584" i="7"/>
  <c r="D583" i="7"/>
  <c r="B583" i="7"/>
  <c r="D582" i="7"/>
  <c r="B582" i="7"/>
  <c r="D581" i="7"/>
  <c r="B581" i="7"/>
  <c r="D580" i="7"/>
  <c r="B580" i="7"/>
  <c r="D579" i="7"/>
  <c r="B579" i="7"/>
  <c r="D578" i="7"/>
  <c r="B578" i="7"/>
  <c r="D577" i="7"/>
  <c r="B577" i="7"/>
  <c r="D576" i="7"/>
  <c r="B576" i="7"/>
  <c r="D575" i="7"/>
  <c r="B575" i="7"/>
  <c r="D574" i="7"/>
  <c r="B574" i="7"/>
  <c r="D573" i="7"/>
  <c r="B573" i="7"/>
  <c r="D572" i="7"/>
  <c r="B572" i="7"/>
  <c r="D571" i="7"/>
  <c r="B571" i="7"/>
  <c r="D570" i="7"/>
  <c r="B570" i="7"/>
  <c r="D569" i="7"/>
  <c r="B569" i="7"/>
  <c r="D568" i="7"/>
  <c r="B568" i="7"/>
  <c r="D567" i="7"/>
  <c r="B567" i="7"/>
  <c r="D566" i="7"/>
  <c r="B566" i="7"/>
  <c r="D565" i="7"/>
  <c r="B565" i="7"/>
  <c r="D564" i="7"/>
  <c r="B564" i="7"/>
  <c r="D563" i="7"/>
  <c r="B563" i="7"/>
  <c r="D562" i="7"/>
  <c r="B562" i="7"/>
  <c r="D561" i="7"/>
  <c r="B561" i="7"/>
  <c r="D560" i="7"/>
  <c r="B560" i="7"/>
  <c r="D559" i="7"/>
  <c r="B559" i="7"/>
  <c r="D558" i="7"/>
  <c r="B558" i="7"/>
  <c r="D557" i="7"/>
  <c r="B557" i="7"/>
  <c r="D556" i="7"/>
  <c r="B556" i="7"/>
  <c r="D555" i="7"/>
  <c r="B555" i="7"/>
  <c r="D554" i="7"/>
  <c r="B554" i="7"/>
  <c r="AE553" i="7"/>
  <c r="AD553" i="7"/>
  <c r="AC553" i="7"/>
  <c r="AB553" i="7"/>
  <c r="AA553" i="7"/>
  <c r="Z553" i="7"/>
  <c r="Y553" i="7"/>
  <c r="X553" i="7"/>
  <c r="W553" i="7"/>
  <c r="V553" i="7"/>
  <c r="U553" i="7"/>
  <c r="T553" i="7"/>
  <c r="S553" i="7"/>
  <c r="R553" i="7"/>
  <c r="Q553" i="7"/>
  <c r="P553" i="7"/>
  <c r="O553" i="7"/>
  <c r="N553" i="7"/>
  <c r="M553" i="7"/>
  <c r="L553" i="7"/>
  <c r="K553" i="7"/>
  <c r="J553" i="7"/>
  <c r="I553" i="7"/>
  <c r="H553" i="7"/>
  <c r="G553" i="7"/>
  <c r="F553" i="7"/>
  <c r="E553" i="7"/>
  <c r="CD551" i="7"/>
  <c r="AC551" i="7"/>
  <c r="B551" i="7"/>
  <c r="AE550" i="7"/>
  <c r="AD550" i="7"/>
  <c r="AB550" i="7"/>
  <c r="AA550" i="7"/>
  <c r="Z550" i="7"/>
  <c r="Y550" i="7"/>
  <c r="X550" i="7"/>
  <c r="W550" i="7"/>
  <c r="V550" i="7"/>
  <c r="U550" i="7"/>
  <c r="T550" i="7"/>
  <c r="S550" i="7"/>
  <c r="R550" i="7"/>
  <c r="Q550" i="7"/>
  <c r="P550" i="7"/>
  <c r="O550" i="7"/>
  <c r="N550" i="7"/>
  <c r="M550" i="7"/>
  <c r="L550" i="7"/>
  <c r="K550" i="7"/>
  <c r="J550" i="7"/>
  <c r="I550" i="7"/>
  <c r="H550" i="7"/>
  <c r="G550" i="7"/>
  <c r="F550" i="7"/>
  <c r="E550" i="7"/>
  <c r="AC549" i="7"/>
  <c r="D549" i="7" s="1"/>
  <c r="P549" i="7"/>
  <c r="B549" i="7"/>
  <c r="AC548" i="7"/>
  <c r="D548" i="7" s="1"/>
  <c r="B548" i="7"/>
  <c r="AC547" i="7"/>
  <c r="D547" i="7" s="1"/>
  <c r="B547" i="7"/>
  <c r="AE546" i="7"/>
  <c r="AD546" i="7"/>
  <c r="AB546" i="7"/>
  <c r="AA546" i="7"/>
  <c r="Z546" i="7"/>
  <c r="Y546" i="7"/>
  <c r="X546" i="7"/>
  <c r="W546" i="7"/>
  <c r="V546" i="7"/>
  <c r="U546" i="7"/>
  <c r="T546" i="7"/>
  <c r="S546" i="7"/>
  <c r="R546" i="7"/>
  <c r="Q546" i="7"/>
  <c r="P546" i="7"/>
  <c r="O546" i="7"/>
  <c r="N546" i="7"/>
  <c r="M546" i="7"/>
  <c r="L546" i="7"/>
  <c r="K546" i="7"/>
  <c r="J546" i="7"/>
  <c r="I546" i="7"/>
  <c r="H546" i="7"/>
  <c r="G546" i="7"/>
  <c r="F546" i="7"/>
  <c r="E546" i="7"/>
  <c r="AC545" i="7"/>
  <c r="D545" i="7" s="1"/>
  <c r="B545" i="7"/>
  <c r="AC544" i="7"/>
  <c r="D544" i="7" s="1"/>
  <c r="N544" i="7"/>
  <c r="B544" i="7"/>
  <c r="AC543" i="7"/>
  <c r="D543" i="7" s="1"/>
  <c r="B543" i="7"/>
  <c r="CD542" i="7"/>
  <c r="AC542" i="7"/>
  <c r="D542" i="7" s="1"/>
  <c r="B542" i="7"/>
  <c r="AC541" i="7"/>
  <c r="B541" i="7"/>
  <c r="AE540" i="7"/>
  <c r="AD540" i="7"/>
  <c r="AB540" i="7"/>
  <c r="AA540" i="7"/>
  <c r="Z540" i="7"/>
  <c r="Y540" i="7"/>
  <c r="X540" i="7"/>
  <c r="W540" i="7"/>
  <c r="V540" i="7"/>
  <c r="U540" i="7"/>
  <c r="T540" i="7"/>
  <c r="S540" i="7"/>
  <c r="R540" i="7"/>
  <c r="Q540" i="7"/>
  <c r="P540" i="7"/>
  <c r="O540" i="7"/>
  <c r="N540" i="7"/>
  <c r="M540" i="7"/>
  <c r="L540" i="7"/>
  <c r="K540" i="7"/>
  <c r="J540" i="7"/>
  <c r="I540" i="7"/>
  <c r="H540" i="7"/>
  <c r="G540" i="7"/>
  <c r="F540" i="7"/>
  <c r="E540" i="7"/>
  <c r="AD539" i="7"/>
  <c r="AC539" i="7"/>
  <c r="D539" i="7" s="1"/>
  <c r="B539" i="7"/>
  <c r="AC538" i="7"/>
  <c r="D538" i="7" s="1"/>
  <c r="G538" i="7"/>
  <c r="B538" i="7"/>
  <c r="AC537" i="7"/>
  <c r="D537" i="7" s="1"/>
  <c r="B537" i="7"/>
  <c r="AC536" i="7"/>
  <c r="D536" i="7" s="1"/>
  <c r="B536" i="7"/>
  <c r="AC535" i="7"/>
  <c r="D535" i="7" s="1"/>
  <c r="B535" i="7"/>
  <c r="AC534" i="7"/>
  <c r="D534" i="7"/>
  <c r="B534" i="7"/>
  <c r="AD533" i="7"/>
  <c r="AC533" i="7"/>
  <c r="D533" i="7" s="1"/>
  <c r="G533" i="7"/>
  <c r="B533" i="7"/>
  <c r="CD532" i="7"/>
  <c r="AD532" i="7"/>
  <c r="AC532" i="7"/>
  <c r="D532" i="7" s="1"/>
  <c r="B532" i="7"/>
  <c r="AE531" i="7"/>
  <c r="AD531" i="7"/>
  <c r="AB531" i="7"/>
  <c r="AA531" i="7"/>
  <c r="Z531" i="7"/>
  <c r="Y531" i="7"/>
  <c r="X531" i="7"/>
  <c r="W531" i="7"/>
  <c r="V531" i="7"/>
  <c r="U531" i="7"/>
  <c r="T531" i="7"/>
  <c r="S531" i="7"/>
  <c r="R531" i="7"/>
  <c r="Q531" i="7"/>
  <c r="P531" i="7"/>
  <c r="O531" i="7"/>
  <c r="N531" i="7"/>
  <c r="M531" i="7"/>
  <c r="L531" i="7"/>
  <c r="K531" i="7"/>
  <c r="J531" i="7"/>
  <c r="I531" i="7"/>
  <c r="H531" i="7"/>
  <c r="G531" i="7"/>
  <c r="F531" i="7"/>
  <c r="E531" i="7"/>
  <c r="CD530" i="7"/>
  <c r="AC530" i="7"/>
  <c r="AC529" i="7" s="1"/>
  <c r="N530" i="7"/>
  <c r="B530" i="7"/>
  <c r="AE529" i="7"/>
  <c r="AD529" i="7"/>
  <c r="AB529" i="7"/>
  <c r="AA529" i="7"/>
  <c r="Z529" i="7"/>
  <c r="Y529" i="7"/>
  <c r="X529" i="7"/>
  <c r="W529" i="7"/>
  <c r="V529" i="7"/>
  <c r="U529" i="7"/>
  <c r="T529" i="7"/>
  <c r="S529" i="7"/>
  <c r="R529" i="7"/>
  <c r="Q529" i="7"/>
  <c r="P529" i="7"/>
  <c r="O529" i="7"/>
  <c r="N529" i="7"/>
  <c r="M529" i="7"/>
  <c r="L529" i="7"/>
  <c r="K529" i="7"/>
  <c r="J529" i="7"/>
  <c r="I529" i="7"/>
  <c r="H529" i="7"/>
  <c r="G529" i="7"/>
  <c r="F529" i="7"/>
  <c r="E529" i="7"/>
  <c r="AC528" i="7"/>
  <c r="D528" i="7" s="1"/>
  <c r="R528" i="7"/>
  <c r="B528" i="7"/>
  <c r="CD527" i="7"/>
  <c r="AC527" i="7"/>
  <c r="D527" i="7" s="1"/>
  <c r="N527" i="7"/>
  <c r="B527" i="7"/>
  <c r="AE526" i="7"/>
  <c r="AD526" i="7"/>
  <c r="AB526" i="7"/>
  <c r="AA526" i="7"/>
  <c r="Z526" i="7"/>
  <c r="Y526" i="7"/>
  <c r="X526" i="7"/>
  <c r="W526" i="7"/>
  <c r="V526" i="7"/>
  <c r="U526" i="7"/>
  <c r="T526" i="7"/>
  <c r="S526" i="7"/>
  <c r="R526" i="7"/>
  <c r="Q526" i="7"/>
  <c r="P526" i="7"/>
  <c r="O526" i="7"/>
  <c r="N526" i="7"/>
  <c r="M526" i="7"/>
  <c r="L526" i="7"/>
  <c r="K526" i="7"/>
  <c r="J526" i="7"/>
  <c r="I526" i="7"/>
  <c r="H526" i="7"/>
  <c r="G526" i="7"/>
  <c r="F526" i="7"/>
  <c r="E526" i="7"/>
  <c r="CD525" i="7"/>
  <c r="AC525" i="7"/>
  <c r="D525" i="7" s="1"/>
  <c r="D524" i="7" s="1"/>
  <c r="CB524" i="7" s="1"/>
  <c r="B525" i="7"/>
  <c r="AE524" i="7"/>
  <c r="AD524" i="7"/>
  <c r="AB524" i="7"/>
  <c r="AA524" i="7"/>
  <c r="Z524" i="7"/>
  <c r="Y524" i="7"/>
  <c r="X524" i="7"/>
  <c r="W524" i="7"/>
  <c r="V524" i="7"/>
  <c r="U524" i="7"/>
  <c r="T524" i="7"/>
  <c r="S524" i="7"/>
  <c r="R524" i="7"/>
  <c r="Q524" i="7"/>
  <c r="P524" i="7"/>
  <c r="O524" i="7"/>
  <c r="N524" i="7"/>
  <c r="M524" i="7"/>
  <c r="L524" i="7"/>
  <c r="K524" i="7"/>
  <c r="J524" i="7"/>
  <c r="I524" i="7"/>
  <c r="H524" i="7"/>
  <c r="G524" i="7"/>
  <c r="F524" i="7"/>
  <c r="E524" i="7"/>
  <c r="AC523" i="7"/>
  <c r="D523" i="7" s="1"/>
  <c r="B523" i="7"/>
  <c r="AC522" i="7"/>
  <c r="D522" i="7"/>
  <c r="B522" i="7"/>
  <c r="CD521" i="7"/>
  <c r="AC521" i="7"/>
  <c r="D521" i="7"/>
  <c r="B521" i="7"/>
  <c r="CD520" i="7"/>
  <c r="AC520" i="7"/>
  <c r="D520" i="7"/>
  <c r="B520" i="7"/>
  <c r="AC519" i="7"/>
  <c r="N519" i="7"/>
  <c r="B519" i="7"/>
  <c r="CD518" i="7"/>
  <c r="AC518" i="7"/>
  <c r="D518" i="7" s="1"/>
  <c r="B518" i="7"/>
  <c r="AE517" i="7"/>
  <c r="AD517" i="7"/>
  <c r="AB517" i="7"/>
  <c r="AA517" i="7"/>
  <c r="Z517" i="7"/>
  <c r="Y517" i="7"/>
  <c r="X517" i="7"/>
  <c r="W517" i="7"/>
  <c r="V517" i="7"/>
  <c r="U517" i="7"/>
  <c r="T517" i="7"/>
  <c r="S517" i="7"/>
  <c r="R517" i="7"/>
  <c r="Q517" i="7"/>
  <c r="P517" i="7"/>
  <c r="O517" i="7"/>
  <c r="N517" i="7"/>
  <c r="M517" i="7"/>
  <c r="L517" i="7"/>
  <c r="K517" i="7"/>
  <c r="J517" i="7"/>
  <c r="I517" i="7"/>
  <c r="H517" i="7"/>
  <c r="G517" i="7"/>
  <c r="F517" i="7"/>
  <c r="E517" i="7"/>
  <c r="AC516" i="7"/>
  <c r="G516" i="7"/>
  <c r="B516" i="7"/>
  <c r="AE515" i="7"/>
  <c r="AD515" i="7"/>
  <c r="AB515" i="7"/>
  <c r="AA515" i="7"/>
  <c r="Z515" i="7"/>
  <c r="Y515" i="7"/>
  <c r="X515" i="7"/>
  <c r="W515" i="7"/>
  <c r="V515" i="7"/>
  <c r="U515" i="7"/>
  <c r="T515" i="7"/>
  <c r="S515" i="7"/>
  <c r="R515" i="7"/>
  <c r="Q515" i="7"/>
  <c r="P515" i="7"/>
  <c r="O515" i="7"/>
  <c r="N515" i="7"/>
  <c r="M515" i="7"/>
  <c r="L515" i="7"/>
  <c r="K515" i="7"/>
  <c r="J515" i="7"/>
  <c r="I515" i="7"/>
  <c r="H515" i="7"/>
  <c r="G515" i="7"/>
  <c r="F515" i="7"/>
  <c r="E515" i="7"/>
  <c r="AC514" i="7"/>
  <c r="AC513" i="7" s="1"/>
  <c r="N514" i="7"/>
  <c r="B514" i="7"/>
  <c r="AE513" i="7"/>
  <c r="AD513" i="7"/>
  <c r="AB513" i="7"/>
  <c r="AA513" i="7"/>
  <c r="Z513" i="7"/>
  <c r="Y513" i="7"/>
  <c r="X513" i="7"/>
  <c r="W513" i="7"/>
  <c r="V513" i="7"/>
  <c r="U513" i="7"/>
  <c r="T513" i="7"/>
  <c r="S513" i="7"/>
  <c r="R513" i="7"/>
  <c r="Q513" i="7"/>
  <c r="P513" i="7"/>
  <c r="O513" i="7"/>
  <c r="N513" i="7"/>
  <c r="M513" i="7"/>
  <c r="L513" i="7"/>
  <c r="K513" i="7"/>
  <c r="J513" i="7"/>
  <c r="I513" i="7"/>
  <c r="H513" i="7"/>
  <c r="G513" i="7"/>
  <c r="F513" i="7"/>
  <c r="E513" i="7"/>
  <c r="AC512" i="7"/>
  <c r="D512" i="7" s="1"/>
  <c r="B512" i="7"/>
  <c r="AC511" i="7"/>
  <c r="D511" i="7" s="1"/>
  <c r="B511" i="7"/>
  <c r="AE510" i="7"/>
  <c r="AD510" i="7"/>
  <c r="AB510" i="7"/>
  <c r="AA510" i="7"/>
  <c r="Z510" i="7"/>
  <c r="Y510" i="7"/>
  <c r="X510" i="7"/>
  <c r="W510" i="7"/>
  <c r="V510" i="7"/>
  <c r="U510" i="7"/>
  <c r="T510" i="7"/>
  <c r="S510" i="7"/>
  <c r="R510" i="7"/>
  <c r="Q510" i="7"/>
  <c r="P510" i="7"/>
  <c r="O510" i="7"/>
  <c r="N510" i="7"/>
  <c r="M510" i="7"/>
  <c r="L510" i="7"/>
  <c r="K510" i="7"/>
  <c r="J510" i="7"/>
  <c r="I510" i="7"/>
  <c r="H510" i="7"/>
  <c r="G510" i="7"/>
  <c r="F510" i="7"/>
  <c r="E510" i="7"/>
  <c r="AC509" i="7"/>
  <c r="D509" i="7" s="1"/>
  <c r="D508" i="7" s="1"/>
  <c r="CB508" i="7" s="1"/>
  <c r="B509" i="7"/>
  <c r="AE508" i="7"/>
  <c r="AD508" i="7"/>
  <c r="AB508" i="7"/>
  <c r="AA508" i="7"/>
  <c r="Z508" i="7"/>
  <c r="Y508" i="7"/>
  <c r="X508" i="7"/>
  <c r="W508" i="7"/>
  <c r="V508" i="7"/>
  <c r="U508" i="7"/>
  <c r="T508" i="7"/>
  <c r="S508" i="7"/>
  <c r="R508" i="7"/>
  <c r="Q508" i="7"/>
  <c r="P508" i="7"/>
  <c r="O508" i="7"/>
  <c r="N508" i="7"/>
  <c r="M508" i="7"/>
  <c r="L508" i="7"/>
  <c r="K508" i="7"/>
  <c r="J508" i="7"/>
  <c r="I508" i="7"/>
  <c r="H508" i="7"/>
  <c r="G508" i="7"/>
  <c r="F508" i="7"/>
  <c r="E508" i="7"/>
  <c r="CD507" i="7"/>
  <c r="AD507" i="7"/>
  <c r="AC507" i="7"/>
  <c r="B507" i="7"/>
  <c r="AE506" i="7"/>
  <c r="AD506" i="7"/>
  <c r="AB506" i="7"/>
  <c r="AA506" i="7"/>
  <c r="Z506" i="7"/>
  <c r="Y506" i="7"/>
  <c r="X506" i="7"/>
  <c r="W506" i="7"/>
  <c r="V506" i="7"/>
  <c r="U506" i="7"/>
  <c r="T506" i="7"/>
  <c r="S506" i="7"/>
  <c r="R506" i="7"/>
  <c r="Q506" i="7"/>
  <c r="P506" i="7"/>
  <c r="O506" i="7"/>
  <c r="N506" i="7"/>
  <c r="M506" i="7"/>
  <c r="L506" i="7"/>
  <c r="K506" i="7"/>
  <c r="J506" i="7"/>
  <c r="I506" i="7"/>
  <c r="H506" i="7"/>
  <c r="G506" i="7"/>
  <c r="F506" i="7"/>
  <c r="E506" i="7"/>
  <c r="CD505" i="7"/>
  <c r="AC505" i="7"/>
  <c r="D505" i="7" s="1"/>
  <c r="B505" i="7"/>
  <c r="AC504" i="7"/>
  <c r="D504" i="7" s="1"/>
  <c r="B504" i="7"/>
  <c r="AC503" i="7"/>
  <c r="D503" i="7" s="1"/>
  <c r="B503" i="7"/>
  <c r="AC502" i="7"/>
  <c r="D502" i="7" s="1"/>
  <c r="B502" i="7"/>
  <c r="AC501" i="7"/>
  <c r="D501" i="7" s="1"/>
  <c r="N501" i="7"/>
  <c r="B501" i="7"/>
  <c r="AE500" i="7"/>
  <c r="AD500" i="7"/>
  <c r="AB500" i="7"/>
  <c r="AA500" i="7"/>
  <c r="Z500" i="7"/>
  <c r="Y500" i="7"/>
  <c r="X500" i="7"/>
  <c r="W500" i="7"/>
  <c r="V500" i="7"/>
  <c r="U500" i="7"/>
  <c r="T500" i="7"/>
  <c r="S500" i="7"/>
  <c r="R500" i="7"/>
  <c r="Q500" i="7"/>
  <c r="P500" i="7"/>
  <c r="O500" i="7"/>
  <c r="N500" i="7"/>
  <c r="M500" i="7"/>
  <c r="L500" i="7"/>
  <c r="K500" i="7"/>
  <c r="J500" i="7"/>
  <c r="I500" i="7"/>
  <c r="H500" i="7"/>
  <c r="G500" i="7"/>
  <c r="F500" i="7"/>
  <c r="E500" i="7"/>
  <c r="AC499" i="7"/>
  <c r="D499" i="7" s="1"/>
  <c r="D498" i="7" s="1"/>
  <c r="R499" i="7"/>
  <c r="B499" i="7"/>
  <c r="AE498" i="7"/>
  <c r="AD498" i="7"/>
  <c r="AB498" i="7"/>
  <c r="AA498" i="7"/>
  <c r="Z498" i="7"/>
  <c r="Y498" i="7"/>
  <c r="X498" i="7"/>
  <c r="W498" i="7"/>
  <c r="V498" i="7"/>
  <c r="U498" i="7"/>
  <c r="T498" i="7"/>
  <c r="S498" i="7"/>
  <c r="R498" i="7"/>
  <c r="Q498" i="7"/>
  <c r="P498" i="7"/>
  <c r="O498" i="7"/>
  <c r="N498" i="7"/>
  <c r="M498" i="7"/>
  <c r="L498" i="7"/>
  <c r="K498" i="7"/>
  <c r="J498" i="7"/>
  <c r="I498" i="7"/>
  <c r="H498" i="7"/>
  <c r="G498" i="7"/>
  <c r="F498" i="7"/>
  <c r="E498" i="7"/>
  <c r="CD497" i="7"/>
  <c r="AC497" i="7"/>
  <c r="N497" i="7"/>
  <c r="B497" i="7"/>
  <c r="AE496" i="7"/>
  <c r="AD496" i="7"/>
  <c r="AB496" i="7"/>
  <c r="AA496" i="7"/>
  <c r="Z496" i="7"/>
  <c r="Y496" i="7"/>
  <c r="X496" i="7"/>
  <c r="W496" i="7"/>
  <c r="V496" i="7"/>
  <c r="U496" i="7"/>
  <c r="T496" i="7"/>
  <c r="S496" i="7"/>
  <c r="R496" i="7"/>
  <c r="Q496" i="7"/>
  <c r="P496" i="7"/>
  <c r="O496" i="7"/>
  <c r="N496" i="7"/>
  <c r="M496" i="7"/>
  <c r="L496" i="7"/>
  <c r="K496" i="7"/>
  <c r="J496" i="7"/>
  <c r="I496" i="7"/>
  <c r="H496" i="7"/>
  <c r="G496" i="7"/>
  <c r="F496" i="7"/>
  <c r="E496" i="7"/>
  <c r="AC495" i="7"/>
  <c r="D495" i="7" s="1"/>
  <c r="G495" i="7"/>
  <c r="B495" i="7"/>
  <c r="AC494" i="7"/>
  <c r="D494" i="7" s="1"/>
  <c r="B494" i="7"/>
  <c r="CD493" i="7"/>
  <c r="AC493" i="7"/>
  <c r="D493" i="7" s="1"/>
  <c r="N493" i="7"/>
  <c r="B493" i="7"/>
  <c r="CD492" i="7"/>
  <c r="AC492" i="7"/>
  <c r="D492" i="7" s="1"/>
  <c r="B492" i="7"/>
  <c r="CD491" i="7"/>
  <c r="AC491" i="7"/>
  <c r="D491" i="7" s="1"/>
  <c r="B491" i="7"/>
  <c r="AT490" i="7"/>
  <c r="AC490" i="7"/>
  <c r="D490" i="7" s="1"/>
  <c r="B490" i="7"/>
  <c r="AC489" i="7"/>
  <c r="D489" i="7" s="1"/>
  <c r="B489" i="7"/>
  <c r="CD488" i="7"/>
  <c r="AD488" i="7"/>
  <c r="AC488" i="7"/>
  <c r="D488" i="7"/>
  <c r="B488" i="7"/>
  <c r="AE487" i="7"/>
  <c r="AD487" i="7"/>
  <c r="AB487" i="7"/>
  <c r="AA487" i="7"/>
  <c r="Z487" i="7"/>
  <c r="Y487" i="7"/>
  <c r="X487" i="7"/>
  <c r="W487" i="7"/>
  <c r="V487" i="7"/>
  <c r="U487" i="7"/>
  <c r="T487" i="7"/>
  <c r="S487" i="7"/>
  <c r="R487" i="7"/>
  <c r="Q487" i="7"/>
  <c r="P487" i="7"/>
  <c r="O487" i="7"/>
  <c r="N487" i="7"/>
  <c r="M487" i="7"/>
  <c r="L487" i="7"/>
  <c r="K487" i="7"/>
  <c r="J487" i="7"/>
  <c r="I487" i="7"/>
  <c r="H487" i="7"/>
  <c r="G487" i="7"/>
  <c r="F487" i="7"/>
  <c r="E487" i="7"/>
  <c r="CD486" i="7"/>
  <c r="AC486" i="7"/>
  <c r="D486" i="7" s="1"/>
  <c r="B486" i="7"/>
  <c r="CD485" i="7"/>
  <c r="AC485" i="7"/>
  <c r="D485" i="7" s="1"/>
  <c r="B485" i="7"/>
  <c r="AC484" i="7"/>
  <c r="D484" i="7" s="1"/>
  <c r="N484" i="7"/>
  <c r="B484" i="7"/>
  <c r="CD483" i="7"/>
  <c r="AC483" i="7"/>
  <c r="D483" i="7" s="1"/>
  <c r="B483" i="7"/>
  <c r="CD482" i="7"/>
  <c r="AC482" i="7"/>
  <c r="D482" i="7" s="1"/>
  <c r="B482" i="7"/>
  <c r="AC481" i="7"/>
  <c r="D481" i="7" s="1"/>
  <c r="B481" i="7"/>
  <c r="AC480" i="7"/>
  <c r="D480" i="7" s="1"/>
  <c r="B480" i="7"/>
  <c r="AC479" i="7"/>
  <c r="D479" i="7" s="1"/>
  <c r="B479" i="7"/>
  <c r="CD478" i="7"/>
  <c r="AC478" i="7"/>
  <c r="D478" i="7" s="1"/>
  <c r="B478" i="7"/>
  <c r="AC477" i="7"/>
  <c r="D477" i="7" s="1"/>
  <c r="N477" i="7"/>
  <c r="B477" i="7"/>
  <c r="CD476" i="7"/>
  <c r="AC476" i="7"/>
  <c r="D476" i="7" s="1"/>
  <c r="B476" i="7"/>
  <c r="AE475" i="7"/>
  <c r="AD475" i="7"/>
  <c r="AB475" i="7"/>
  <c r="AA475" i="7"/>
  <c r="Z475" i="7"/>
  <c r="Y475" i="7"/>
  <c r="X475" i="7"/>
  <c r="W475" i="7"/>
  <c r="V475" i="7"/>
  <c r="U475" i="7"/>
  <c r="T475" i="7"/>
  <c r="S475" i="7"/>
  <c r="R475" i="7"/>
  <c r="Q475" i="7"/>
  <c r="P475" i="7"/>
  <c r="O475" i="7"/>
  <c r="N475" i="7"/>
  <c r="M475" i="7"/>
  <c r="L475" i="7"/>
  <c r="K475" i="7"/>
  <c r="J475" i="7"/>
  <c r="I475" i="7"/>
  <c r="H475" i="7"/>
  <c r="G475" i="7"/>
  <c r="F475" i="7"/>
  <c r="E475" i="7"/>
  <c r="AC474" i="7"/>
  <c r="D474" i="7" s="1"/>
  <c r="N474" i="7"/>
  <c r="B474" i="7"/>
  <c r="CD473" i="7"/>
  <c r="AC473" i="7"/>
  <c r="D473" i="7" s="1"/>
  <c r="B473" i="7"/>
  <c r="AD472" i="7"/>
  <c r="AC472" i="7"/>
  <c r="D472" i="7" s="1"/>
  <c r="R472" i="7"/>
  <c r="B472" i="7"/>
  <c r="CD471" i="7"/>
  <c r="AC471" i="7"/>
  <c r="D471" i="7" s="1"/>
  <c r="N471" i="7"/>
  <c r="B471" i="7"/>
  <c r="AC470" i="7"/>
  <c r="D470" i="7" s="1"/>
  <c r="B470" i="7"/>
  <c r="AE469" i="7"/>
  <c r="AD469" i="7"/>
  <c r="AB469" i="7"/>
  <c r="AA469" i="7"/>
  <c r="Z469" i="7"/>
  <c r="Y469" i="7"/>
  <c r="X469" i="7"/>
  <c r="W469" i="7"/>
  <c r="V469" i="7"/>
  <c r="U469" i="7"/>
  <c r="T469" i="7"/>
  <c r="S469" i="7"/>
  <c r="R469" i="7"/>
  <c r="Q469" i="7"/>
  <c r="P469" i="7"/>
  <c r="O469" i="7"/>
  <c r="N469" i="7"/>
  <c r="M469" i="7"/>
  <c r="L469" i="7"/>
  <c r="K469" i="7"/>
  <c r="J469" i="7"/>
  <c r="I469" i="7"/>
  <c r="H469" i="7"/>
  <c r="G469" i="7"/>
  <c r="F469" i="7"/>
  <c r="E469" i="7"/>
  <c r="AC468" i="7"/>
  <c r="D468" i="7" s="1"/>
  <c r="D467" i="7" s="1"/>
  <c r="B468" i="7"/>
  <c r="AE467" i="7"/>
  <c r="AD467" i="7"/>
  <c r="AC467" i="7"/>
  <c r="AB467" i="7"/>
  <c r="AA467" i="7"/>
  <c r="Z467" i="7"/>
  <c r="Y467" i="7"/>
  <c r="X467" i="7"/>
  <c r="W467" i="7"/>
  <c r="V467" i="7"/>
  <c r="U467" i="7"/>
  <c r="T467" i="7"/>
  <c r="S467" i="7"/>
  <c r="R467" i="7"/>
  <c r="Q467" i="7"/>
  <c r="P467" i="7"/>
  <c r="O467" i="7"/>
  <c r="N467" i="7"/>
  <c r="M467" i="7"/>
  <c r="L467" i="7"/>
  <c r="K467" i="7"/>
  <c r="J467" i="7"/>
  <c r="I467" i="7"/>
  <c r="H467" i="7"/>
  <c r="G467" i="7"/>
  <c r="F467" i="7"/>
  <c r="E467" i="7"/>
  <c r="AD466" i="7"/>
  <c r="AC466" i="7"/>
  <c r="D466" i="7" s="1"/>
  <c r="D465" i="7" s="1"/>
  <c r="B466" i="7"/>
  <c r="AE465" i="7"/>
  <c r="AD465" i="7"/>
  <c r="AB465" i="7"/>
  <c r="AA465" i="7"/>
  <c r="Z465" i="7"/>
  <c r="Y465" i="7"/>
  <c r="X465" i="7"/>
  <c r="W465" i="7"/>
  <c r="V465" i="7"/>
  <c r="U465" i="7"/>
  <c r="T465" i="7"/>
  <c r="S465" i="7"/>
  <c r="R465" i="7"/>
  <c r="Q465" i="7"/>
  <c r="P465" i="7"/>
  <c r="O465" i="7"/>
  <c r="N465" i="7"/>
  <c r="M465" i="7"/>
  <c r="L465" i="7"/>
  <c r="K465" i="7"/>
  <c r="J465" i="7"/>
  <c r="I465" i="7"/>
  <c r="H465" i="7"/>
  <c r="G465" i="7"/>
  <c r="F465" i="7"/>
  <c r="E465" i="7"/>
  <c r="CD464" i="7"/>
  <c r="AC464" i="7"/>
  <c r="D464" i="7" s="1"/>
  <c r="D463" i="7" s="1"/>
  <c r="N464" i="7"/>
  <c r="B464" i="7"/>
  <c r="AE463" i="7"/>
  <c r="AD463" i="7"/>
  <c r="AB463" i="7"/>
  <c r="AA463" i="7"/>
  <c r="Z463" i="7"/>
  <c r="Y463" i="7"/>
  <c r="X463" i="7"/>
  <c r="W463" i="7"/>
  <c r="V463" i="7"/>
  <c r="U463" i="7"/>
  <c r="T463" i="7"/>
  <c r="S463" i="7"/>
  <c r="R463" i="7"/>
  <c r="Q463" i="7"/>
  <c r="P463" i="7"/>
  <c r="O463" i="7"/>
  <c r="N463" i="7"/>
  <c r="M463" i="7"/>
  <c r="L463" i="7"/>
  <c r="K463" i="7"/>
  <c r="J463" i="7"/>
  <c r="I463" i="7"/>
  <c r="H463" i="7"/>
  <c r="G463" i="7"/>
  <c r="F463" i="7"/>
  <c r="E463" i="7"/>
  <c r="CD462" i="7"/>
  <c r="AC462" i="7"/>
  <c r="D462" i="7" s="1"/>
  <c r="D461" i="7" s="1"/>
  <c r="B462" i="7"/>
  <c r="AE461" i="7"/>
  <c r="AD461" i="7"/>
  <c r="AB461" i="7"/>
  <c r="AA461" i="7"/>
  <c r="Z461" i="7"/>
  <c r="Y461" i="7"/>
  <c r="X461" i="7"/>
  <c r="W461" i="7"/>
  <c r="V461" i="7"/>
  <c r="U461" i="7"/>
  <c r="T461" i="7"/>
  <c r="S461" i="7"/>
  <c r="R461" i="7"/>
  <c r="Q461" i="7"/>
  <c r="P461" i="7"/>
  <c r="O461" i="7"/>
  <c r="N461" i="7"/>
  <c r="M461" i="7"/>
  <c r="L461" i="7"/>
  <c r="K461" i="7"/>
  <c r="J461" i="7"/>
  <c r="I461" i="7"/>
  <c r="H461" i="7"/>
  <c r="G461" i="7"/>
  <c r="F461" i="7"/>
  <c r="E461" i="7"/>
  <c r="CD460" i="7"/>
  <c r="AC460" i="7"/>
  <c r="N460" i="7"/>
  <c r="B460" i="7"/>
  <c r="AE459" i="7"/>
  <c r="AD459" i="7"/>
  <c r="AB459" i="7"/>
  <c r="AA459" i="7"/>
  <c r="Z459" i="7"/>
  <c r="Y459" i="7"/>
  <c r="X459" i="7"/>
  <c r="W459" i="7"/>
  <c r="V459" i="7"/>
  <c r="U459" i="7"/>
  <c r="T459" i="7"/>
  <c r="S459" i="7"/>
  <c r="R459" i="7"/>
  <c r="Q459" i="7"/>
  <c r="P459" i="7"/>
  <c r="O459" i="7"/>
  <c r="N459" i="7"/>
  <c r="M459" i="7"/>
  <c r="L459" i="7"/>
  <c r="K459" i="7"/>
  <c r="J459" i="7"/>
  <c r="I459" i="7"/>
  <c r="H459" i="7"/>
  <c r="G459" i="7"/>
  <c r="F459" i="7"/>
  <c r="E459" i="7"/>
  <c r="CD458" i="7"/>
  <c r="D458" i="7"/>
  <c r="D457" i="7" s="1"/>
  <c r="B458" i="7"/>
  <c r="AE457" i="7"/>
  <c r="AD457" i="7"/>
  <c r="AC457" i="7"/>
  <c r="AB457" i="7"/>
  <c r="AA457" i="7"/>
  <c r="Z457" i="7"/>
  <c r="Y457" i="7"/>
  <c r="X457" i="7"/>
  <c r="W457" i="7"/>
  <c r="V457" i="7"/>
  <c r="U457" i="7"/>
  <c r="T457" i="7"/>
  <c r="S457" i="7"/>
  <c r="R457" i="7"/>
  <c r="Q457" i="7"/>
  <c r="P457" i="7"/>
  <c r="O457" i="7"/>
  <c r="N457" i="7"/>
  <c r="M457" i="7"/>
  <c r="L457" i="7"/>
  <c r="K457" i="7"/>
  <c r="J457" i="7"/>
  <c r="I457" i="7"/>
  <c r="H457" i="7"/>
  <c r="G457" i="7"/>
  <c r="F457" i="7"/>
  <c r="E457" i="7"/>
  <c r="CD456" i="7"/>
  <c r="AC456" i="7"/>
  <c r="D456" i="7" s="1"/>
  <c r="D455" i="7" s="1"/>
  <c r="N456" i="7"/>
  <c r="B456" i="7"/>
  <c r="AE455" i="7"/>
  <c r="AD455" i="7"/>
  <c r="AB455" i="7"/>
  <c r="AA455" i="7"/>
  <c r="Z455" i="7"/>
  <c r="Y455" i="7"/>
  <c r="X455" i="7"/>
  <c r="W455" i="7"/>
  <c r="V455" i="7"/>
  <c r="U455" i="7"/>
  <c r="T455" i="7"/>
  <c r="S455" i="7"/>
  <c r="R455" i="7"/>
  <c r="Q455" i="7"/>
  <c r="P455" i="7"/>
  <c r="O455" i="7"/>
  <c r="N455" i="7"/>
  <c r="M455" i="7"/>
  <c r="L455" i="7"/>
  <c r="K455" i="7"/>
  <c r="J455" i="7"/>
  <c r="I455" i="7"/>
  <c r="H455" i="7"/>
  <c r="G455" i="7"/>
  <c r="F455" i="7"/>
  <c r="E455" i="7"/>
  <c r="CD454" i="7"/>
  <c r="AC454" i="7"/>
  <c r="D454" i="7" s="1"/>
  <c r="N454" i="7"/>
  <c r="B454" i="7"/>
  <c r="CD453" i="7"/>
  <c r="AC453" i="7"/>
  <c r="D453" i="7" s="1"/>
  <c r="N453" i="7"/>
  <c r="B453" i="7"/>
  <c r="AC452" i="7"/>
  <c r="D452" i="7" s="1"/>
  <c r="B452" i="7"/>
  <c r="CD451" i="7"/>
  <c r="AC451" i="7"/>
  <c r="D451" i="7" s="1"/>
  <c r="B451" i="7"/>
  <c r="CD450" i="7"/>
  <c r="AC450" i="7"/>
  <c r="D450" i="7" s="1"/>
  <c r="B450" i="7"/>
  <c r="AC449" i="7"/>
  <c r="D449" i="7" s="1"/>
  <c r="B449" i="7"/>
  <c r="AT448" i="7"/>
  <c r="AC448" i="7"/>
  <c r="D448" i="7" s="1"/>
  <c r="B448" i="7"/>
  <c r="AC447" i="7"/>
  <c r="B447" i="7"/>
  <c r="AC446" i="7"/>
  <c r="D446" i="7" s="1"/>
  <c r="B446" i="7"/>
  <c r="AE445" i="7"/>
  <c r="AD445" i="7"/>
  <c r="AB445" i="7"/>
  <c r="AA445" i="7"/>
  <c r="Z445" i="7"/>
  <c r="Y445" i="7"/>
  <c r="X445" i="7"/>
  <c r="W445" i="7"/>
  <c r="V445" i="7"/>
  <c r="U445" i="7"/>
  <c r="T445" i="7"/>
  <c r="S445" i="7"/>
  <c r="R445" i="7"/>
  <c r="Q445" i="7"/>
  <c r="P445" i="7"/>
  <c r="O445" i="7"/>
  <c r="N445" i="7"/>
  <c r="M445" i="7"/>
  <c r="L445" i="7"/>
  <c r="K445" i="7"/>
  <c r="J445" i="7"/>
  <c r="I445" i="7"/>
  <c r="H445" i="7"/>
  <c r="G445" i="7"/>
  <c r="F445" i="7"/>
  <c r="E445" i="7"/>
  <c r="CD444" i="7"/>
  <c r="D444" i="7"/>
  <c r="B444" i="7"/>
  <c r="CD443" i="7"/>
  <c r="AC443" i="7"/>
  <c r="AC442" i="7" s="1"/>
  <c r="B443" i="7"/>
  <c r="AE442" i="7"/>
  <c r="AD442" i="7"/>
  <c r="AB442" i="7"/>
  <c r="AA442" i="7"/>
  <c r="Z442" i="7"/>
  <c r="Y442" i="7"/>
  <c r="X442" i="7"/>
  <c r="W442" i="7"/>
  <c r="V442" i="7"/>
  <c r="U442" i="7"/>
  <c r="T442" i="7"/>
  <c r="S442" i="7"/>
  <c r="R442" i="7"/>
  <c r="Q442" i="7"/>
  <c r="P442" i="7"/>
  <c r="O442" i="7"/>
  <c r="N442" i="7"/>
  <c r="M442" i="7"/>
  <c r="L442" i="7"/>
  <c r="K442" i="7"/>
  <c r="J442" i="7"/>
  <c r="I442" i="7"/>
  <c r="H442" i="7"/>
  <c r="G442" i="7"/>
  <c r="F442" i="7"/>
  <c r="E442" i="7"/>
  <c r="CD441" i="7"/>
  <c r="AC441" i="7"/>
  <c r="D441" i="7" s="1"/>
  <c r="B441" i="7"/>
  <c r="AC440" i="7"/>
  <c r="D440" i="7" s="1"/>
  <c r="B440" i="7"/>
  <c r="CD439" i="7"/>
  <c r="AC439" i="7"/>
  <c r="D439" i="7" s="1"/>
  <c r="B439" i="7"/>
  <c r="CD438" i="7"/>
  <c r="AC438" i="7"/>
  <c r="D438" i="7" s="1"/>
  <c r="B438" i="7"/>
  <c r="CD437" i="7"/>
  <c r="AC437" i="7"/>
  <c r="D437" i="7" s="1"/>
  <c r="B437" i="7"/>
  <c r="AE436" i="7"/>
  <c r="AD436" i="7"/>
  <c r="AB436" i="7"/>
  <c r="AA436" i="7"/>
  <c r="Z436" i="7"/>
  <c r="Y436" i="7"/>
  <c r="X436" i="7"/>
  <c r="W436" i="7"/>
  <c r="V436" i="7"/>
  <c r="U436" i="7"/>
  <c r="T436" i="7"/>
  <c r="S436" i="7"/>
  <c r="R436" i="7"/>
  <c r="Q436" i="7"/>
  <c r="P436" i="7"/>
  <c r="O436" i="7"/>
  <c r="N436" i="7"/>
  <c r="M436" i="7"/>
  <c r="L436" i="7"/>
  <c r="K436" i="7"/>
  <c r="J436" i="7"/>
  <c r="I436" i="7"/>
  <c r="H436" i="7"/>
  <c r="G436" i="7"/>
  <c r="F436" i="7"/>
  <c r="E436" i="7"/>
  <c r="AC435" i="7"/>
  <c r="D435" i="7" s="1"/>
  <c r="B435" i="7"/>
  <c r="AC434" i="7"/>
  <c r="D434" i="7" s="1"/>
  <c r="G434" i="7"/>
  <c r="B434" i="7"/>
  <c r="AC433" i="7"/>
  <c r="D433" i="7" s="1"/>
  <c r="B433" i="7"/>
  <c r="AC432" i="7"/>
  <c r="D432" i="7" s="1"/>
  <c r="B432" i="7"/>
  <c r="AC431" i="7"/>
  <c r="B431" i="7"/>
  <c r="AC430" i="7"/>
  <c r="D430" i="7" s="1"/>
  <c r="B430" i="7"/>
  <c r="AC429" i="7"/>
  <c r="D429" i="7" s="1"/>
  <c r="B429" i="7"/>
  <c r="AE428" i="7"/>
  <c r="AD428" i="7"/>
  <c r="AB428" i="7"/>
  <c r="AA428" i="7"/>
  <c r="Z428" i="7"/>
  <c r="Y428" i="7"/>
  <c r="X428" i="7"/>
  <c r="W428" i="7"/>
  <c r="V428" i="7"/>
  <c r="U428" i="7"/>
  <c r="T428" i="7"/>
  <c r="S428" i="7"/>
  <c r="R428" i="7"/>
  <c r="Q428" i="7"/>
  <c r="P428" i="7"/>
  <c r="O428" i="7"/>
  <c r="N428" i="7"/>
  <c r="M428" i="7"/>
  <c r="L428" i="7"/>
  <c r="K428" i="7"/>
  <c r="J428" i="7"/>
  <c r="I428" i="7"/>
  <c r="H428" i="7"/>
  <c r="G428" i="7"/>
  <c r="F428" i="7"/>
  <c r="E428" i="7"/>
  <c r="AC427" i="7"/>
  <c r="D427" i="7" s="1"/>
  <c r="B427" i="7"/>
  <c r="AC426" i="7"/>
  <c r="D426" i="7" s="1"/>
  <c r="B426" i="7"/>
  <c r="AC425" i="7"/>
  <c r="D425" i="7" s="1"/>
  <c r="B425" i="7"/>
  <c r="AC424" i="7"/>
  <c r="D424" i="7" s="1"/>
  <c r="D423" i="7" s="1"/>
  <c r="N424" i="7"/>
  <c r="B424" i="7"/>
  <c r="AE423" i="7"/>
  <c r="AD423" i="7"/>
  <c r="AB423" i="7"/>
  <c r="AA423" i="7"/>
  <c r="Z423" i="7"/>
  <c r="Y423" i="7"/>
  <c r="X423" i="7"/>
  <c r="W423" i="7"/>
  <c r="V423" i="7"/>
  <c r="U423" i="7"/>
  <c r="T423" i="7"/>
  <c r="S423" i="7"/>
  <c r="R423" i="7"/>
  <c r="Q423" i="7"/>
  <c r="P423" i="7"/>
  <c r="O423" i="7"/>
  <c r="N423" i="7"/>
  <c r="M423" i="7"/>
  <c r="L423" i="7"/>
  <c r="K423" i="7"/>
  <c r="J423" i="7"/>
  <c r="I423" i="7"/>
  <c r="H423" i="7"/>
  <c r="G423" i="7"/>
  <c r="F423" i="7"/>
  <c r="E423" i="7"/>
  <c r="AC422" i="7"/>
  <c r="D422" i="7" s="1"/>
  <c r="D421" i="7" s="1"/>
  <c r="N422" i="7"/>
  <c r="B422" i="7"/>
  <c r="AE421" i="7"/>
  <c r="AD421" i="7"/>
  <c r="AB421" i="7"/>
  <c r="AA421" i="7"/>
  <c r="Z421" i="7"/>
  <c r="Y421" i="7"/>
  <c r="X421" i="7"/>
  <c r="W421" i="7"/>
  <c r="V421" i="7"/>
  <c r="U421" i="7"/>
  <c r="T421" i="7"/>
  <c r="S421" i="7"/>
  <c r="R421" i="7"/>
  <c r="Q421" i="7"/>
  <c r="P421" i="7"/>
  <c r="O421" i="7"/>
  <c r="N421" i="7"/>
  <c r="M421" i="7"/>
  <c r="L421" i="7"/>
  <c r="K421" i="7"/>
  <c r="J421" i="7"/>
  <c r="I421" i="7"/>
  <c r="H421" i="7"/>
  <c r="G421" i="7"/>
  <c r="F421" i="7"/>
  <c r="E421" i="7"/>
  <c r="CD420" i="7"/>
  <c r="AC420" i="7"/>
  <c r="D420" i="7" s="1"/>
  <c r="N420" i="7"/>
  <c r="B420" i="7"/>
  <c r="CD419" i="7"/>
  <c r="AC419" i="7"/>
  <c r="D419" i="7" s="1"/>
  <c r="U419" i="7"/>
  <c r="B419" i="7"/>
  <c r="CD418" i="7"/>
  <c r="AC418" i="7"/>
  <c r="D418" i="7" s="1"/>
  <c r="B418" i="7"/>
  <c r="CD417" i="7"/>
  <c r="AC417" i="7"/>
  <c r="B417" i="7"/>
  <c r="CD416" i="7"/>
  <c r="AC416" i="7"/>
  <c r="D416" i="7" s="1"/>
  <c r="N416" i="7"/>
  <c r="B416" i="7"/>
  <c r="AE415" i="7"/>
  <c r="AD415" i="7"/>
  <c r="AB415" i="7"/>
  <c r="AA415" i="7"/>
  <c r="Z415" i="7"/>
  <c r="Y415" i="7"/>
  <c r="X415" i="7"/>
  <c r="W415" i="7"/>
  <c r="V415" i="7"/>
  <c r="U415" i="7"/>
  <c r="T415" i="7"/>
  <c r="S415" i="7"/>
  <c r="R415" i="7"/>
  <c r="Q415" i="7"/>
  <c r="P415" i="7"/>
  <c r="O415" i="7"/>
  <c r="N415" i="7"/>
  <c r="M415" i="7"/>
  <c r="L415" i="7"/>
  <c r="K415" i="7"/>
  <c r="J415" i="7"/>
  <c r="I415" i="7"/>
  <c r="H415" i="7"/>
  <c r="G415" i="7"/>
  <c r="F415" i="7"/>
  <c r="E415" i="7"/>
  <c r="AC414" i="7"/>
  <c r="B414" i="7"/>
  <c r="AE413" i="7"/>
  <c r="AD413" i="7"/>
  <c r="AB413" i="7"/>
  <c r="AA413" i="7"/>
  <c r="Z413" i="7"/>
  <c r="Y413" i="7"/>
  <c r="X413" i="7"/>
  <c r="W413" i="7"/>
  <c r="V413" i="7"/>
  <c r="U413" i="7"/>
  <c r="T413" i="7"/>
  <c r="S413" i="7"/>
  <c r="R413" i="7"/>
  <c r="Q413" i="7"/>
  <c r="P413" i="7"/>
  <c r="O413" i="7"/>
  <c r="N413" i="7"/>
  <c r="M413" i="7"/>
  <c r="L413" i="7"/>
  <c r="K413" i="7"/>
  <c r="J413" i="7"/>
  <c r="I413" i="7"/>
  <c r="H413" i="7"/>
  <c r="G413" i="7"/>
  <c r="F413" i="7"/>
  <c r="E413" i="7"/>
  <c r="AD412" i="7"/>
  <c r="AC412" i="7"/>
  <c r="D412" i="7" s="1"/>
  <c r="N412" i="7"/>
  <c r="B412" i="7"/>
  <c r="AE411" i="7"/>
  <c r="AD411" i="7"/>
  <c r="AB411" i="7"/>
  <c r="AA411" i="7"/>
  <c r="Z411" i="7"/>
  <c r="Y411" i="7"/>
  <c r="X411" i="7"/>
  <c r="W411" i="7"/>
  <c r="V411" i="7"/>
  <c r="U411" i="7"/>
  <c r="T411" i="7"/>
  <c r="S411" i="7"/>
  <c r="R411" i="7"/>
  <c r="Q411" i="7"/>
  <c r="P411" i="7"/>
  <c r="O411" i="7"/>
  <c r="N411" i="7"/>
  <c r="M411" i="7"/>
  <c r="L411" i="7"/>
  <c r="K411" i="7"/>
  <c r="J411" i="7"/>
  <c r="I411" i="7"/>
  <c r="H411" i="7"/>
  <c r="G411" i="7"/>
  <c r="F411" i="7"/>
  <c r="E411" i="7"/>
  <c r="D411" i="7"/>
  <c r="CD410" i="7"/>
  <c r="AC410" i="7"/>
  <c r="D410" i="7" s="1"/>
  <c r="B410" i="7"/>
  <c r="CD409" i="7"/>
  <c r="AC409" i="7"/>
  <c r="D409" i="7" s="1"/>
  <c r="N409" i="7"/>
  <c r="B409" i="7"/>
  <c r="AC408" i="7"/>
  <c r="D408" i="7" s="1"/>
  <c r="B408" i="7"/>
  <c r="AC407" i="7"/>
  <c r="D407" i="7" s="1"/>
  <c r="N407" i="7"/>
  <c r="B407" i="7"/>
  <c r="AC406" i="7"/>
  <c r="D406" i="7" s="1"/>
  <c r="N406" i="7"/>
  <c r="B406" i="7"/>
  <c r="AC405" i="7"/>
  <c r="D405" i="7" s="1"/>
  <c r="N405" i="7"/>
  <c r="B405" i="7"/>
  <c r="AE404" i="7"/>
  <c r="AD404" i="7"/>
  <c r="AB404" i="7"/>
  <c r="AA404" i="7"/>
  <c r="Z404" i="7"/>
  <c r="Y404" i="7"/>
  <c r="X404" i="7"/>
  <c r="W404" i="7"/>
  <c r="V404" i="7"/>
  <c r="U404" i="7"/>
  <c r="T404" i="7"/>
  <c r="S404" i="7"/>
  <c r="R404" i="7"/>
  <c r="Q404" i="7"/>
  <c r="P404" i="7"/>
  <c r="O404" i="7"/>
  <c r="N404" i="7"/>
  <c r="M404" i="7"/>
  <c r="L404" i="7"/>
  <c r="K404" i="7"/>
  <c r="J404" i="7"/>
  <c r="I404" i="7"/>
  <c r="H404" i="7"/>
  <c r="G404" i="7"/>
  <c r="F404" i="7"/>
  <c r="E404" i="7"/>
  <c r="AC403" i="7"/>
  <c r="B403" i="7"/>
  <c r="AE402" i="7"/>
  <c r="AD402" i="7"/>
  <c r="AB402" i="7"/>
  <c r="AA402" i="7"/>
  <c r="Z402" i="7"/>
  <c r="Y402" i="7"/>
  <c r="X402" i="7"/>
  <c r="W402" i="7"/>
  <c r="V402" i="7"/>
  <c r="U402" i="7"/>
  <c r="T402" i="7"/>
  <c r="S402" i="7"/>
  <c r="R402" i="7"/>
  <c r="Q402" i="7"/>
  <c r="P402" i="7"/>
  <c r="O402" i="7"/>
  <c r="N402" i="7"/>
  <c r="M402" i="7"/>
  <c r="L402" i="7"/>
  <c r="K402" i="7"/>
  <c r="J402" i="7"/>
  <c r="I402" i="7"/>
  <c r="H402" i="7"/>
  <c r="G402" i="7"/>
  <c r="F402" i="7"/>
  <c r="E402" i="7"/>
  <c r="AC401" i="7"/>
  <c r="D401" i="7" s="1"/>
  <c r="B401" i="7"/>
  <c r="CD400" i="7"/>
  <c r="AC400" i="7"/>
  <c r="D400" i="7" s="1"/>
  <c r="B400" i="7"/>
  <c r="AC399" i="7"/>
  <c r="D399" i="7" s="1"/>
  <c r="B399" i="7"/>
  <c r="AC398" i="7"/>
  <c r="B398" i="7"/>
  <c r="AE397" i="7"/>
  <c r="AD397" i="7"/>
  <c r="AB397" i="7"/>
  <c r="AA397" i="7"/>
  <c r="Z397" i="7"/>
  <c r="Y397" i="7"/>
  <c r="X397" i="7"/>
  <c r="W397" i="7"/>
  <c r="V397" i="7"/>
  <c r="U397" i="7"/>
  <c r="T397" i="7"/>
  <c r="S397" i="7"/>
  <c r="R397" i="7"/>
  <c r="Q397" i="7"/>
  <c r="P397" i="7"/>
  <c r="O397" i="7"/>
  <c r="N397" i="7"/>
  <c r="M397" i="7"/>
  <c r="L397" i="7"/>
  <c r="K397" i="7"/>
  <c r="J397" i="7"/>
  <c r="I397" i="7"/>
  <c r="H397" i="7"/>
  <c r="G397" i="7"/>
  <c r="F397" i="7"/>
  <c r="E397" i="7"/>
  <c r="CD396" i="7"/>
  <c r="AC396" i="7"/>
  <c r="D396" i="7" s="1"/>
  <c r="D395" i="7" s="1"/>
  <c r="N396" i="7"/>
  <c r="B396" i="7"/>
  <c r="AE395" i="7"/>
  <c r="AD395" i="7"/>
  <c r="AB395" i="7"/>
  <c r="AA395" i="7"/>
  <c r="Z395" i="7"/>
  <c r="Y395" i="7"/>
  <c r="X395" i="7"/>
  <c r="W395" i="7"/>
  <c r="V395" i="7"/>
  <c r="U395" i="7"/>
  <c r="T395" i="7"/>
  <c r="S395" i="7"/>
  <c r="R395" i="7"/>
  <c r="Q395" i="7"/>
  <c r="P395" i="7"/>
  <c r="O395" i="7"/>
  <c r="N395" i="7"/>
  <c r="M395" i="7"/>
  <c r="L395" i="7"/>
  <c r="K395" i="7"/>
  <c r="J395" i="7"/>
  <c r="I395" i="7"/>
  <c r="H395" i="7"/>
  <c r="G395" i="7"/>
  <c r="F395" i="7"/>
  <c r="E395" i="7"/>
  <c r="AC394" i="7"/>
  <c r="D394" i="7" s="1"/>
  <c r="B394" i="7"/>
  <c r="CD393" i="7"/>
  <c r="AC393" i="7"/>
  <c r="B393" i="7"/>
  <c r="AE392" i="7"/>
  <c r="AD392" i="7"/>
  <c r="AB392" i="7"/>
  <c r="AA392" i="7"/>
  <c r="Z392" i="7"/>
  <c r="Y392" i="7"/>
  <c r="X392" i="7"/>
  <c r="W392" i="7"/>
  <c r="V392" i="7"/>
  <c r="U392" i="7"/>
  <c r="T392" i="7"/>
  <c r="S392" i="7"/>
  <c r="R392" i="7"/>
  <c r="Q392" i="7"/>
  <c r="P392" i="7"/>
  <c r="O392" i="7"/>
  <c r="N392" i="7"/>
  <c r="M392" i="7"/>
  <c r="L392" i="7"/>
  <c r="K392" i="7"/>
  <c r="J392" i="7"/>
  <c r="I392" i="7"/>
  <c r="H392" i="7"/>
  <c r="G392" i="7"/>
  <c r="F392" i="7"/>
  <c r="E392" i="7"/>
  <c r="AC391" i="7"/>
  <c r="D391" i="7" s="1"/>
  <c r="N391" i="7"/>
  <c r="B391" i="7"/>
  <c r="AC390" i="7"/>
  <c r="D390" i="7" s="1"/>
  <c r="U390" i="7"/>
  <c r="B390" i="7"/>
  <c r="AC389" i="7"/>
  <c r="D389" i="7" s="1"/>
  <c r="R389" i="7"/>
  <c r="B389" i="7"/>
  <c r="CD388" i="7"/>
  <c r="AC388" i="7"/>
  <c r="D388" i="7" s="1"/>
  <c r="N388" i="7"/>
  <c r="B388" i="7"/>
  <c r="AE387" i="7"/>
  <c r="AD387" i="7"/>
  <c r="AB387" i="7"/>
  <c r="AA387" i="7"/>
  <c r="Z387" i="7"/>
  <c r="Y387" i="7"/>
  <c r="X387" i="7"/>
  <c r="W387" i="7"/>
  <c r="V387" i="7"/>
  <c r="U387" i="7"/>
  <c r="T387" i="7"/>
  <c r="S387" i="7"/>
  <c r="R387" i="7"/>
  <c r="Q387" i="7"/>
  <c r="P387" i="7"/>
  <c r="O387" i="7"/>
  <c r="N387" i="7"/>
  <c r="M387" i="7"/>
  <c r="L387" i="7"/>
  <c r="K387" i="7"/>
  <c r="J387" i="7"/>
  <c r="I387" i="7"/>
  <c r="H387" i="7"/>
  <c r="G387" i="7"/>
  <c r="F387" i="7"/>
  <c r="E387" i="7"/>
  <c r="AC386" i="7"/>
  <c r="N386" i="7"/>
  <c r="B386" i="7"/>
  <c r="AE385" i="7"/>
  <c r="AD385" i="7"/>
  <c r="AB385" i="7"/>
  <c r="AA385" i="7"/>
  <c r="Z385" i="7"/>
  <c r="Y385" i="7"/>
  <c r="X385" i="7"/>
  <c r="W385" i="7"/>
  <c r="V385" i="7"/>
  <c r="U385" i="7"/>
  <c r="T385" i="7"/>
  <c r="S385" i="7"/>
  <c r="R385" i="7"/>
  <c r="Q385" i="7"/>
  <c r="P385" i="7"/>
  <c r="O385" i="7"/>
  <c r="N385" i="7"/>
  <c r="M385" i="7"/>
  <c r="L385" i="7"/>
  <c r="K385" i="7"/>
  <c r="J385" i="7"/>
  <c r="I385" i="7"/>
  <c r="H385" i="7"/>
  <c r="G385" i="7"/>
  <c r="F385" i="7"/>
  <c r="E385" i="7"/>
  <c r="CD384" i="7"/>
  <c r="AC384" i="7"/>
  <c r="B384" i="7"/>
  <c r="AE383" i="7"/>
  <c r="AD383" i="7"/>
  <c r="AB383" i="7"/>
  <c r="AA383" i="7"/>
  <c r="Z383" i="7"/>
  <c r="Y383" i="7"/>
  <c r="X383" i="7"/>
  <c r="W383" i="7"/>
  <c r="V383" i="7"/>
  <c r="U383" i="7"/>
  <c r="T383" i="7"/>
  <c r="S383" i="7"/>
  <c r="R383" i="7"/>
  <c r="Q383" i="7"/>
  <c r="P383" i="7"/>
  <c r="O383" i="7"/>
  <c r="N383" i="7"/>
  <c r="M383" i="7"/>
  <c r="L383" i="7"/>
  <c r="K383" i="7"/>
  <c r="J383" i="7"/>
  <c r="I383" i="7"/>
  <c r="H383" i="7"/>
  <c r="G383" i="7"/>
  <c r="F383" i="7"/>
  <c r="E383" i="7"/>
  <c r="AC382" i="7"/>
  <c r="D382" i="7" s="1"/>
  <c r="B382" i="7"/>
  <c r="CD381" i="7"/>
  <c r="AC381" i="7"/>
  <c r="D381" i="7" s="1"/>
  <c r="B381" i="7"/>
  <c r="AE380" i="7"/>
  <c r="AD380" i="7"/>
  <c r="AC380" i="7"/>
  <c r="AB380" i="7"/>
  <c r="AA380" i="7"/>
  <c r="Z380" i="7"/>
  <c r="Y380" i="7"/>
  <c r="X380" i="7"/>
  <c r="W380" i="7"/>
  <c r="V380" i="7"/>
  <c r="U380" i="7"/>
  <c r="T380" i="7"/>
  <c r="S380" i="7"/>
  <c r="R380" i="7"/>
  <c r="Q380" i="7"/>
  <c r="P380" i="7"/>
  <c r="O380" i="7"/>
  <c r="N380" i="7"/>
  <c r="M380" i="7"/>
  <c r="L380" i="7"/>
  <c r="K380" i="7"/>
  <c r="J380" i="7"/>
  <c r="I380" i="7"/>
  <c r="H380" i="7"/>
  <c r="G380" i="7"/>
  <c r="F380" i="7"/>
  <c r="E380" i="7"/>
  <c r="CD379" i="7"/>
  <c r="AC379" i="7"/>
  <c r="D379" i="7" s="1"/>
  <c r="B379" i="7"/>
  <c r="CD378" i="7"/>
  <c r="AC378" i="7"/>
  <c r="D378" i="7" s="1"/>
  <c r="B378" i="7"/>
  <c r="CD377" i="7"/>
  <c r="AC377" i="7"/>
  <c r="D377" i="7" s="1"/>
  <c r="B377" i="7"/>
  <c r="AC376" i="7"/>
  <c r="D376" i="7" s="1"/>
  <c r="G376" i="7"/>
  <c r="B376" i="7"/>
  <c r="CD375" i="7"/>
  <c r="AC375" i="7"/>
  <c r="D375" i="7" s="1"/>
  <c r="B375" i="7"/>
  <c r="CD374" i="7"/>
  <c r="AC374" i="7"/>
  <c r="D374" i="7" s="1"/>
  <c r="B374" i="7"/>
  <c r="CD373" i="7"/>
  <c r="AC373" i="7"/>
  <c r="D373" i="7" s="1"/>
  <c r="B373" i="7"/>
  <c r="AC372" i="7"/>
  <c r="D372" i="7" s="1"/>
  <c r="B372" i="7"/>
  <c r="AC371" i="7"/>
  <c r="D371" i="7"/>
  <c r="B371" i="7"/>
  <c r="AC370" i="7"/>
  <c r="D370" i="7" s="1"/>
  <c r="B370" i="7"/>
  <c r="CD369" i="7"/>
  <c r="AC369" i="7"/>
  <c r="D369" i="7" s="1"/>
  <c r="B369" i="7"/>
  <c r="CD368" i="7"/>
  <c r="AC368" i="7"/>
  <c r="D368" i="7" s="1"/>
  <c r="B368" i="7"/>
  <c r="AC367" i="7"/>
  <c r="D367" i="7" s="1"/>
  <c r="B367" i="7"/>
  <c r="AC366" i="7"/>
  <c r="B366" i="7"/>
  <c r="AC365" i="7"/>
  <c r="D365" i="7" s="1"/>
  <c r="B365" i="7"/>
  <c r="AE364" i="7"/>
  <c r="AD364" i="7"/>
  <c r="AB364" i="7"/>
  <c r="AA364" i="7"/>
  <c r="Z364" i="7"/>
  <c r="Y364" i="7"/>
  <c r="X364" i="7"/>
  <c r="W364" i="7"/>
  <c r="V364" i="7"/>
  <c r="U364" i="7"/>
  <c r="T364" i="7"/>
  <c r="S364" i="7"/>
  <c r="R364" i="7"/>
  <c r="Q364" i="7"/>
  <c r="P364" i="7"/>
  <c r="O364" i="7"/>
  <c r="N364" i="7"/>
  <c r="M364" i="7"/>
  <c r="L364" i="7"/>
  <c r="K364" i="7"/>
  <c r="J364" i="7"/>
  <c r="I364" i="7"/>
  <c r="H364" i="7"/>
  <c r="G364" i="7"/>
  <c r="F364" i="7"/>
  <c r="E364" i="7"/>
  <c r="AC363" i="7"/>
  <c r="D363" i="7" s="1"/>
  <c r="D362" i="7" s="1"/>
  <c r="B363" i="7"/>
  <c r="AE362" i="7"/>
  <c r="AD362" i="7"/>
  <c r="AB362" i="7"/>
  <c r="AA362" i="7"/>
  <c r="Z362" i="7"/>
  <c r="Y362" i="7"/>
  <c r="X362" i="7"/>
  <c r="W362" i="7"/>
  <c r="V362" i="7"/>
  <c r="U362" i="7"/>
  <c r="T362" i="7"/>
  <c r="S362" i="7"/>
  <c r="R362" i="7"/>
  <c r="Q362" i="7"/>
  <c r="P362" i="7"/>
  <c r="O362" i="7"/>
  <c r="N362" i="7"/>
  <c r="M362" i="7"/>
  <c r="L362" i="7"/>
  <c r="K362" i="7"/>
  <c r="J362" i="7"/>
  <c r="I362" i="7"/>
  <c r="H362" i="7"/>
  <c r="G362" i="7"/>
  <c r="F362" i="7"/>
  <c r="E362" i="7"/>
  <c r="CD361" i="7"/>
  <c r="AC361" i="7"/>
  <c r="D361" i="7" s="1"/>
  <c r="N361" i="7"/>
  <c r="B361" i="7"/>
  <c r="AC360" i="7"/>
  <c r="D360" i="7" s="1"/>
  <c r="G360" i="7"/>
  <c r="B360" i="7"/>
  <c r="AC359" i="7"/>
  <c r="N359" i="7"/>
  <c r="B359" i="7"/>
  <c r="AE358" i="7"/>
  <c r="AD358" i="7"/>
  <c r="AB358" i="7"/>
  <c r="AA358" i="7"/>
  <c r="Z358" i="7"/>
  <c r="Y358" i="7"/>
  <c r="X358" i="7"/>
  <c r="W358" i="7"/>
  <c r="V358" i="7"/>
  <c r="U358" i="7"/>
  <c r="T358" i="7"/>
  <c r="S358" i="7"/>
  <c r="R358" i="7"/>
  <c r="Q358" i="7"/>
  <c r="P358" i="7"/>
  <c r="O358" i="7"/>
  <c r="N358" i="7"/>
  <c r="M358" i="7"/>
  <c r="L358" i="7"/>
  <c r="K358" i="7"/>
  <c r="J358" i="7"/>
  <c r="I358" i="7"/>
  <c r="H358" i="7"/>
  <c r="G358" i="7"/>
  <c r="F358" i="7"/>
  <c r="E358" i="7"/>
  <c r="AC357" i="7"/>
  <c r="D357" i="7"/>
  <c r="B357" i="7"/>
  <c r="AC356" i="7"/>
  <c r="D356" i="7" s="1"/>
  <c r="B356" i="7"/>
  <c r="AC355" i="7"/>
  <c r="D355" i="7" s="1"/>
  <c r="B355" i="7"/>
  <c r="AE354" i="7"/>
  <c r="AD354" i="7"/>
  <c r="AB354" i="7"/>
  <c r="AA354" i="7"/>
  <c r="Z354" i="7"/>
  <c r="Y354" i="7"/>
  <c r="X354" i="7"/>
  <c r="W354" i="7"/>
  <c r="V354" i="7"/>
  <c r="U354" i="7"/>
  <c r="T354" i="7"/>
  <c r="S354" i="7"/>
  <c r="R354" i="7"/>
  <c r="Q354" i="7"/>
  <c r="P354" i="7"/>
  <c r="O354" i="7"/>
  <c r="N354" i="7"/>
  <c r="M354" i="7"/>
  <c r="L354" i="7"/>
  <c r="K354" i="7"/>
  <c r="J354" i="7"/>
  <c r="I354" i="7"/>
  <c r="H354" i="7"/>
  <c r="G354" i="7"/>
  <c r="F354" i="7"/>
  <c r="E354" i="7"/>
  <c r="CD353" i="7"/>
  <c r="AD353" i="7"/>
  <c r="AC353" i="7"/>
  <c r="D353" i="7" s="1"/>
  <c r="N353" i="7"/>
  <c r="B353" i="7"/>
  <c r="CD352" i="7"/>
  <c r="AC352" i="7"/>
  <c r="D352" i="7" s="1"/>
  <c r="N352" i="7"/>
  <c r="B352" i="7"/>
  <c r="AE351" i="7"/>
  <c r="AD351" i="7"/>
  <c r="AC351" i="7"/>
  <c r="AB351" i="7"/>
  <c r="AA351" i="7"/>
  <c r="Z351" i="7"/>
  <c r="Y351" i="7"/>
  <c r="X351" i="7"/>
  <c r="W351" i="7"/>
  <c r="V351" i="7"/>
  <c r="U351" i="7"/>
  <c r="T351" i="7"/>
  <c r="S351" i="7"/>
  <c r="R351" i="7"/>
  <c r="Q351" i="7"/>
  <c r="P351" i="7"/>
  <c r="O351" i="7"/>
  <c r="N351" i="7"/>
  <c r="M351" i="7"/>
  <c r="L351" i="7"/>
  <c r="K351" i="7"/>
  <c r="J351" i="7"/>
  <c r="I351" i="7"/>
  <c r="H351" i="7"/>
  <c r="G351" i="7"/>
  <c r="F351" i="7"/>
  <c r="E351" i="7"/>
  <c r="AC350" i="7"/>
  <c r="D350" i="7" s="1"/>
  <c r="B350" i="7"/>
  <c r="AC349" i="7"/>
  <c r="D349" i="7"/>
  <c r="B349" i="7"/>
  <c r="AC348" i="7"/>
  <c r="D348" i="7" s="1"/>
  <c r="B348" i="7"/>
  <c r="AE347" i="7"/>
  <c r="AD347" i="7"/>
  <c r="AB347" i="7"/>
  <c r="AA347" i="7"/>
  <c r="Z347" i="7"/>
  <c r="Y347" i="7"/>
  <c r="X347" i="7"/>
  <c r="W347" i="7"/>
  <c r="V347" i="7"/>
  <c r="U347" i="7"/>
  <c r="T347" i="7"/>
  <c r="S347" i="7"/>
  <c r="R347" i="7"/>
  <c r="Q347" i="7"/>
  <c r="P347" i="7"/>
  <c r="O347" i="7"/>
  <c r="N347" i="7"/>
  <c r="M347" i="7"/>
  <c r="L347" i="7"/>
  <c r="K347" i="7"/>
  <c r="J347" i="7"/>
  <c r="I347" i="7"/>
  <c r="H347" i="7"/>
  <c r="G347" i="7"/>
  <c r="F347" i="7"/>
  <c r="E347" i="7"/>
  <c r="CD346" i="7"/>
  <c r="AC346" i="7"/>
  <c r="D346" i="7"/>
  <c r="B346" i="7"/>
  <c r="CD345" i="7"/>
  <c r="AC345" i="7"/>
  <c r="D345" i="7"/>
  <c r="B345" i="7"/>
  <c r="AC344" i="7"/>
  <c r="D344" i="7" s="1"/>
  <c r="B344" i="7"/>
  <c r="AC343" i="7"/>
  <c r="B343" i="7"/>
  <c r="AC342" i="7"/>
  <c r="D342" i="7" s="1"/>
  <c r="B342" i="7"/>
  <c r="AC341" i="7"/>
  <c r="D341" i="7" s="1"/>
  <c r="B341" i="7"/>
  <c r="AE340" i="7"/>
  <c r="AD340" i="7"/>
  <c r="AB340" i="7"/>
  <c r="AA340" i="7"/>
  <c r="Z340" i="7"/>
  <c r="Y340" i="7"/>
  <c r="X340" i="7"/>
  <c r="W340" i="7"/>
  <c r="V340" i="7"/>
  <c r="U340" i="7"/>
  <c r="T340" i="7"/>
  <c r="S340" i="7"/>
  <c r="R340" i="7"/>
  <c r="Q340" i="7"/>
  <c r="P340" i="7"/>
  <c r="O340" i="7"/>
  <c r="N340" i="7"/>
  <c r="M340" i="7"/>
  <c r="L340" i="7"/>
  <c r="K340" i="7"/>
  <c r="J340" i="7"/>
  <c r="I340" i="7"/>
  <c r="H340" i="7"/>
  <c r="G340" i="7"/>
  <c r="F340" i="7"/>
  <c r="E340" i="7"/>
  <c r="AC339" i="7"/>
  <c r="D339" i="7" s="1"/>
  <c r="B339" i="7"/>
  <c r="CD338" i="7"/>
  <c r="AC338" i="7"/>
  <c r="D338" i="7" s="1"/>
  <c r="B338" i="7"/>
  <c r="CD337" i="7"/>
  <c r="AC337" i="7"/>
  <c r="D337" i="7" s="1"/>
  <c r="B337" i="7"/>
  <c r="CD336" i="7"/>
  <c r="AC336" i="7"/>
  <c r="D336" i="7" s="1"/>
  <c r="B336" i="7"/>
  <c r="CD335" i="7"/>
  <c r="AC335" i="7"/>
  <c r="D335" i="7" s="1"/>
  <c r="B335" i="7"/>
  <c r="CD334" i="7"/>
  <c r="AC334" i="7"/>
  <c r="D334" i="7" s="1"/>
  <c r="B334" i="7"/>
  <c r="AC333" i="7"/>
  <c r="D333" i="7" s="1"/>
  <c r="B333" i="7"/>
  <c r="AC332" i="7"/>
  <c r="D332" i="7" s="1"/>
  <c r="B332" i="7"/>
  <c r="AC331" i="7"/>
  <c r="D331" i="7" s="1"/>
  <c r="B331" i="7"/>
  <c r="AC330" i="7"/>
  <c r="D330" i="7" s="1"/>
  <c r="B330" i="7"/>
  <c r="AC329" i="7"/>
  <c r="D329" i="7" s="1"/>
  <c r="B329" i="7"/>
  <c r="AC328" i="7"/>
  <c r="D328" i="7" s="1"/>
  <c r="B328" i="7"/>
  <c r="AC327" i="7"/>
  <c r="D327" i="7" s="1"/>
  <c r="B327" i="7"/>
  <c r="AC326" i="7"/>
  <c r="D326" i="7" s="1"/>
  <c r="B326" i="7"/>
  <c r="AC325" i="7"/>
  <c r="D325" i="7"/>
  <c r="B325" i="7"/>
  <c r="AC324" i="7"/>
  <c r="D324" i="7" s="1"/>
  <c r="R324" i="7"/>
  <c r="B324" i="7"/>
  <c r="AC323" i="7"/>
  <c r="D323" i="7" s="1"/>
  <c r="B323" i="7"/>
  <c r="AE322" i="7"/>
  <c r="AD322" i="7"/>
  <c r="AB322" i="7"/>
  <c r="AA322" i="7"/>
  <c r="Z322" i="7"/>
  <c r="Y322" i="7"/>
  <c r="X322" i="7"/>
  <c r="W322" i="7"/>
  <c r="V322" i="7"/>
  <c r="U322" i="7"/>
  <c r="T322" i="7"/>
  <c r="S322" i="7"/>
  <c r="R322" i="7"/>
  <c r="Q322" i="7"/>
  <c r="P322" i="7"/>
  <c r="O322" i="7"/>
  <c r="N322" i="7"/>
  <c r="M322" i="7"/>
  <c r="L322" i="7"/>
  <c r="K322" i="7"/>
  <c r="J322" i="7"/>
  <c r="I322" i="7"/>
  <c r="H322" i="7"/>
  <c r="G322" i="7"/>
  <c r="F322" i="7"/>
  <c r="E322" i="7"/>
  <c r="CD321" i="7"/>
  <c r="AC321" i="7"/>
  <c r="D321" i="7" s="1"/>
  <c r="N321" i="7"/>
  <c r="B321" i="7"/>
  <c r="CD320" i="7"/>
  <c r="AC320" i="7"/>
  <c r="D320" i="7" s="1"/>
  <c r="B320" i="7"/>
  <c r="CD319" i="7"/>
  <c r="AC319" i="7"/>
  <c r="D319" i="7" s="1"/>
  <c r="B319" i="7"/>
  <c r="AC318" i="7"/>
  <c r="D318" i="7" s="1"/>
  <c r="B318" i="7"/>
  <c r="AC317" i="7"/>
  <c r="D317" i="7" s="1"/>
  <c r="B317" i="7"/>
  <c r="D316" i="7"/>
  <c r="B316" i="7"/>
  <c r="CD315" i="7"/>
  <c r="AC315" i="7"/>
  <c r="D315" i="7"/>
  <c r="B315" i="7"/>
  <c r="CD314" i="7"/>
  <c r="AC314" i="7"/>
  <c r="D314" i="7"/>
  <c r="B314" i="7"/>
  <c r="AC313" i="7"/>
  <c r="D313" i="7" s="1"/>
  <c r="R313" i="7"/>
  <c r="B313" i="7"/>
  <c r="AC312" i="7"/>
  <c r="D312" i="7" s="1"/>
  <c r="B312" i="7"/>
  <c r="AC311" i="7"/>
  <c r="D311" i="7" s="1"/>
  <c r="N311" i="7"/>
  <c r="B311" i="7"/>
  <c r="D310" i="7"/>
  <c r="B310" i="7"/>
  <c r="CD309" i="7"/>
  <c r="AC309" i="7"/>
  <c r="D309" i="7" s="1"/>
  <c r="B309" i="7"/>
  <c r="CD308" i="7"/>
  <c r="AC308" i="7"/>
  <c r="D308" i="7" s="1"/>
  <c r="B308" i="7"/>
  <c r="CD307" i="7"/>
  <c r="AC307" i="7"/>
  <c r="D307" i="7" s="1"/>
  <c r="B307" i="7"/>
  <c r="AC306" i="7"/>
  <c r="D306" i="7" s="1"/>
  <c r="N306" i="7"/>
  <c r="B306" i="7"/>
  <c r="AC305" i="7"/>
  <c r="D305" i="7"/>
  <c r="B305" i="7"/>
  <c r="AE304" i="7"/>
  <c r="AD304" i="7"/>
  <c r="AB304" i="7"/>
  <c r="AA304" i="7"/>
  <c r="Z304" i="7"/>
  <c r="Y304" i="7"/>
  <c r="X304" i="7"/>
  <c r="W304" i="7"/>
  <c r="V304" i="7"/>
  <c r="U304" i="7"/>
  <c r="T304" i="7"/>
  <c r="S304" i="7"/>
  <c r="R304" i="7"/>
  <c r="Q304" i="7"/>
  <c r="P304" i="7"/>
  <c r="O304" i="7"/>
  <c r="N304" i="7"/>
  <c r="M304" i="7"/>
  <c r="L304" i="7"/>
  <c r="K304" i="7"/>
  <c r="J304" i="7"/>
  <c r="I304" i="7"/>
  <c r="H304" i="7"/>
  <c r="G304" i="7"/>
  <c r="F304" i="7"/>
  <c r="E304" i="7"/>
  <c r="AC303" i="7"/>
  <c r="N303" i="7"/>
  <c r="B303" i="7"/>
  <c r="AE302" i="7"/>
  <c r="AD302" i="7"/>
  <c r="AB302" i="7"/>
  <c r="AA302" i="7"/>
  <c r="Z302" i="7"/>
  <c r="Y302" i="7"/>
  <c r="X302" i="7"/>
  <c r="W302" i="7"/>
  <c r="V302" i="7"/>
  <c r="U302" i="7"/>
  <c r="T302" i="7"/>
  <c r="S302" i="7"/>
  <c r="R302" i="7"/>
  <c r="Q302" i="7"/>
  <c r="P302" i="7"/>
  <c r="O302" i="7"/>
  <c r="N302" i="7"/>
  <c r="M302" i="7"/>
  <c r="L302" i="7"/>
  <c r="K302" i="7"/>
  <c r="J302" i="7"/>
  <c r="I302" i="7"/>
  <c r="H302" i="7"/>
  <c r="G302" i="7"/>
  <c r="F302" i="7"/>
  <c r="E302" i="7"/>
  <c r="AC301" i="7"/>
  <c r="D301" i="7" s="1"/>
  <c r="B301" i="7"/>
  <c r="AC300" i="7"/>
  <c r="D300" i="7" s="1"/>
  <c r="B300" i="7"/>
  <c r="AC299" i="7"/>
  <c r="D299" i="7" s="1"/>
  <c r="B299" i="7"/>
  <c r="AC298" i="7"/>
  <c r="D298" i="7" s="1"/>
  <c r="I298" i="7"/>
  <c r="B298" i="7"/>
  <c r="AC297" i="7"/>
  <c r="D297" i="7" s="1"/>
  <c r="N297" i="7"/>
  <c r="B297" i="7"/>
  <c r="AE296" i="7"/>
  <c r="AD296" i="7"/>
  <c r="AB296" i="7"/>
  <c r="AA296" i="7"/>
  <c r="Z296" i="7"/>
  <c r="Y296" i="7"/>
  <c r="X296" i="7"/>
  <c r="W296" i="7"/>
  <c r="V296" i="7"/>
  <c r="U296" i="7"/>
  <c r="T296" i="7"/>
  <c r="S296" i="7"/>
  <c r="R296" i="7"/>
  <c r="Q296" i="7"/>
  <c r="P296" i="7"/>
  <c r="O296" i="7"/>
  <c r="N296" i="7"/>
  <c r="M296" i="7"/>
  <c r="L296" i="7"/>
  <c r="K296" i="7"/>
  <c r="J296" i="7"/>
  <c r="I296" i="7"/>
  <c r="H296" i="7"/>
  <c r="G296" i="7"/>
  <c r="F296" i="7"/>
  <c r="E296" i="7"/>
  <c r="AC295" i="7"/>
  <c r="D295" i="7" s="1"/>
  <c r="B295" i="7"/>
  <c r="AC294" i="7"/>
  <c r="D294" i="7" s="1"/>
  <c r="B294" i="7"/>
  <c r="AC293" i="7"/>
  <c r="D293" i="7" s="1"/>
  <c r="B293" i="7"/>
  <c r="AC292" i="7"/>
  <c r="D292" i="7" s="1"/>
  <c r="B292" i="7"/>
  <c r="AC291" i="7"/>
  <c r="B291" i="7"/>
  <c r="AE290" i="7"/>
  <c r="AD290" i="7"/>
  <c r="AB290" i="7"/>
  <c r="AA290" i="7"/>
  <c r="Z290" i="7"/>
  <c r="Y290" i="7"/>
  <c r="X290" i="7"/>
  <c r="W290" i="7"/>
  <c r="V290" i="7"/>
  <c r="U290" i="7"/>
  <c r="T290" i="7"/>
  <c r="S290" i="7"/>
  <c r="R290" i="7"/>
  <c r="Q290" i="7"/>
  <c r="P290" i="7"/>
  <c r="O290" i="7"/>
  <c r="N290" i="7"/>
  <c r="M290" i="7"/>
  <c r="L290" i="7"/>
  <c r="K290" i="7"/>
  <c r="J290" i="7"/>
  <c r="I290" i="7"/>
  <c r="H290" i="7"/>
  <c r="G290" i="7"/>
  <c r="F290" i="7"/>
  <c r="E290" i="7"/>
  <c r="CD289" i="7"/>
  <c r="AC289" i="7"/>
  <c r="D289" i="7" s="1"/>
  <c r="B289" i="7"/>
  <c r="CD288" i="7"/>
  <c r="AC288" i="7"/>
  <c r="D288" i="7" s="1"/>
  <c r="B288" i="7"/>
  <c r="AE287" i="7"/>
  <c r="AD287" i="7"/>
  <c r="AB287" i="7"/>
  <c r="AA287" i="7"/>
  <c r="Z287" i="7"/>
  <c r="Y287" i="7"/>
  <c r="X287" i="7"/>
  <c r="W287" i="7"/>
  <c r="V287" i="7"/>
  <c r="U287" i="7"/>
  <c r="T287" i="7"/>
  <c r="S287" i="7"/>
  <c r="R287" i="7"/>
  <c r="Q287" i="7"/>
  <c r="P287" i="7"/>
  <c r="O287" i="7"/>
  <c r="N287" i="7"/>
  <c r="M287" i="7"/>
  <c r="L287" i="7"/>
  <c r="K287" i="7"/>
  <c r="J287" i="7"/>
  <c r="I287" i="7"/>
  <c r="H287" i="7"/>
  <c r="G287" i="7"/>
  <c r="F287" i="7"/>
  <c r="E287" i="7"/>
  <c r="AC286" i="7"/>
  <c r="D286" i="7" s="1"/>
  <c r="D285" i="7" s="1"/>
  <c r="V286" i="7"/>
  <c r="B286" i="7"/>
  <c r="AE285" i="7"/>
  <c r="AD285" i="7"/>
  <c r="AB285" i="7"/>
  <c r="AA285" i="7"/>
  <c r="Z285" i="7"/>
  <c r="Y285" i="7"/>
  <c r="X285" i="7"/>
  <c r="W285" i="7"/>
  <c r="V285" i="7"/>
  <c r="U285" i="7"/>
  <c r="T285" i="7"/>
  <c r="S285" i="7"/>
  <c r="R285" i="7"/>
  <c r="Q285" i="7"/>
  <c r="P285" i="7"/>
  <c r="O285" i="7"/>
  <c r="N285" i="7"/>
  <c r="M285" i="7"/>
  <c r="L285" i="7"/>
  <c r="K285" i="7"/>
  <c r="J285" i="7"/>
  <c r="I285" i="7"/>
  <c r="H285" i="7"/>
  <c r="G285" i="7"/>
  <c r="F285" i="7"/>
  <c r="E285" i="7"/>
  <c r="CD284" i="7"/>
  <c r="AC284" i="7"/>
  <c r="D284" i="7" s="1"/>
  <c r="N284" i="7"/>
  <c r="B284" i="7"/>
  <c r="CD283" i="7"/>
  <c r="AC283" i="7"/>
  <c r="D283" i="7" s="1"/>
  <c r="B283" i="7"/>
  <c r="AC282" i="7"/>
  <c r="D282" i="7" s="1"/>
  <c r="G282" i="7"/>
  <c r="B282" i="7"/>
  <c r="AC281" i="7"/>
  <c r="D281" i="7"/>
  <c r="B281" i="7"/>
  <c r="AE280" i="7"/>
  <c r="AD280" i="7"/>
  <c r="AB280" i="7"/>
  <c r="AA280" i="7"/>
  <c r="Z280" i="7"/>
  <c r="Y280" i="7"/>
  <c r="X280" i="7"/>
  <c r="W280" i="7"/>
  <c r="V280" i="7"/>
  <c r="U280" i="7"/>
  <c r="T280" i="7"/>
  <c r="S280" i="7"/>
  <c r="R280" i="7"/>
  <c r="Q280" i="7"/>
  <c r="P280" i="7"/>
  <c r="O280" i="7"/>
  <c r="N280" i="7"/>
  <c r="M280" i="7"/>
  <c r="L280" i="7"/>
  <c r="K280" i="7"/>
  <c r="J280" i="7"/>
  <c r="I280" i="7"/>
  <c r="H280" i="7"/>
  <c r="G280" i="7"/>
  <c r="F280" i="7"/>
  <c r="E280" i="7"/>
  <c r="AC279" i="7"/>
  <c r="D279" i="7" s="1"/>
  <c r="N279" i="7"/>
  <c r="B279" i="7"/>
  <c r="CD278" i="7"/>
  <c r="AC278" i="7"/>
  <c r="D278" i="7" s="1"/>
  <c r="B278" i="7"/>
  <c r="AC277" i="7"/>
  <c r="D277" i="7" s="1"/>
  <c r="R277" i="7"/>
  <c r="B277" i="7"/>
  <c r="AC276" i="7"/>
  <c r="D276" i="7" s="1"/>
  <c r="B276" i="7"/>
  <c r="AC275" i="7"/>
  <c r="D275" i="7"/>
  <c r="B275" i="7"/>
  <c r="AC274" i="7"/>
  <c r="B274" i="7"/>
  <c r="AE273" i="7"/>
  <c r="AD273" i="7"/>
  <c r="AB273" i="7"/>
  <c r="AA273" i="7"/>
  <c r="Z273" i="7"/>
  <c r="Y273" i="7"/>
  <c r="X273" i="7"/>
  <c r="W273" i="7"/>
  <c r="V273" i="7"/>
  <c r="U273" i="7"/>
  <c r="T273" i="7"/>
  <c r="S273" i="7"/>
  <c r="R273" i="7"/>
  <c r="Q273" i="7"/>
  <c r="P273" i="7"/>
  <c r="O273" i="7"/>
  <c r="N273" i="7"/>
  <c r="M273" i="7"/>
  <c r="L273" i="7"/>
  <c r="K273" i="7"/>
  <c r="J273" i="7"/>
  <c r="I273" i="7"/>
  <c r="H273" i="7"/>
  <c r="G273" i="7"/>
  <c r="F273" i="7"/>
  <c r="E273" i="7"/>
  <c r="CD272" i="7"/>
  <c r="AC272" i="7"/>
  <c r="D272" i="7" s="1"/>
  <c r="B272" i="7"/>
  <c r="CD271" i="7"/>
  <c r="AC271" i="7"/>
  <c r="D271" i="7" s="1"/>
  <c r="N271" i="7"/>
  <c r="B271" i="7"/>
  <c r="CD270" i="7"/>
  <c r="AC270" i="7"/>
  <c r="D270" i="7" s="1"/>
  <c r="B270" i="7"/>
  <c r="AC269" i="7"/>
  <c r="D269" i="7" s="1"/>
  <c r="B269" i="7"/>
  <c r="CD268" i="7"/>
  <c r="AC268" i="7"/>
  <c r="D268" i="7" s="1"/>
  <c r="B268" i="7"/>
  <c r="AC267" i="7"/>
  <c r="N267" i="7"/>
  <c r="B267" i="7"/>
  <c r="AC266" i="7"/>
  <c r="D266" i="7" s="1"/>
  <c r="N266" i="7"/>
  <c r="B266" i="7"/>
  <c r="AE265" i="7"/>
  <c r="AD265" i="7"/>
  <c r="AB265" i="7"/>
  <c r="AA265" i="7"/>
  <c r="Z265" i="7"/>
  <c r="Y265" i="7"/>
  <c r="X265" i="7"/>
  <c r="W265" i="7"/>
  <c r="V265" i="7"/>
  <c r="U265" i="7"/>
  <c r="T265" i="7"/>
  <c r="S265" i="7"/>
  <c r="R265" i="7"/>
  <c r="Q265" i="7"/>
  <c r="P265" i="7"/>
  <c r="O265" i="7"/>
  <c r="N265" i="7"/>
  <c r="M265" i="7"/>
  <c r="L265" i="7"/>
  <c r="K265" i="7"/>
  <c r="J265" i="7"/>
  <c r="I265" i="7"/>
  <c r="H265" i="7"/>
  <c r="G265" i="7"/>
  <c r="F265" i="7"/>
  <c r="E265" i="7"/>
  <c r="AC264" i="7"/>
  <c r="D264" i="7" s="1"/>
  <c r="B264" i="7"/>
  <c r="AC263" i="7"/>
  <c r="D263" i="7" s="1"/>
  <c r="B263" i="7"/>
  <c r="AC262" i="7"/>
  <c r="D262" i="7" s="1"/>
  <c r="N262" i="7"/>
  <c r="B262" i="7"/>
  <c r="CD261" i="7"/>
  <c r="AC261" i="7"/>
  <c r="D261" i="7" s="1"/>
  <c r="B261" i="7"/>
  <c r="CD260" i="7"/>
  <c r="AC260" i="7"/>
  <c r="D260" i="7" s="1"/>
  <c r="B260" i="7"/>
  <c r="AC259" i="7"/>
  <c r="D259" i="7" s="1"/>
  <c r="B259" i="7"/>
  <c r="CD258" i="7"/>
  <c r="AC258" i="7"/>
  <c r="D258" i="7" s="1"/>
  <c r="B258" i="7"/>
  <c r="CD257" i="7"/>
  <c r="AC257" i="7"/>
  <c r="D257" i="7" s="1"/>
  <c r="N257" i="7"/>
  <c r="B257" i="7"/>
  <c r="AC256" i="7"/>
  <c r="D256" i="7" s="1"/>
  <c r="B256" i="7"/>
  <c r="CD255" i="7"/>
  <c r="AC255" i="7"/>
  <c r="D255" i="7" s="1"/>
  <c r="B255" i="7"/>
  <c r="AC254" i="7"/>
  <c r="D254" i="7" s="1"/>
  <c r="B254" i="7"/>
  <c r="CD253" i="7"/>
  <c r="AC253" i="7"/>
  <c r="D253" i="7" s="1"/>
  <c r="B253" i="7"/>
  <c r="AC252" i="7"/>
  <c r="D252" i="7" s="1"/>
  <c r="B252" i="7"/>
  <c r="CD251" i="7"/>
  <c r="AC251" i="7"/>
  <c r="D251" i="7" s="1"/>
  <c r="B251" i="7"/>
  <c r="CD250" i="7"/>
  <c r="AC250" i="7"/>
  <c r="D250" i="7" s="1"/>
  <c r="B250" i="7"/>
  <c r="CD249" i="7"/>
  <c r="AC249" i="7"/>
  <c r="D249" i="7" s="1"/>
  <c r="B249" i="7"/>
  <c r="AC248" i="7"/>
  <c r="D248" i="7" s="1"/>
  <c r="N248" i="7"/>
  <c r="B248" i="7"/>
  <c r="CD247" i="7"/>
  <c r="AC247" i="7"/>
  <c r="D247" i="7" s="1"/>
  <c r="B247" i="7"/>
  <c r="AC246" i="7"/>
  <c r="D246" i="7" s="1"/>
  <c r="N246" i="7"/>
  <c r="B246" i="7"/>
  <c r="D245" i="7"/>
  <c r="B245" i="7"/>
  <c r="CD244" i="7"/>
  <c r="AC244" i="7"/>
  <c r="D244" i="7" s="1"/>
  <c r="B244" i="7"/>
  <c r="CD243" i="7"/>
  <c r="AC243" i="7"/>
  <c r="D243" i="7" s="1"/>
  <c r="B243" i="7"/>
  <c r="CD242" i="7"/>
  <c r="AC242" i="7"/>
  <c r="D242" i="7" s="1"/>
  <c r="N242" i="7"/>
  <c r="B242" i="7"/>
  <c r="AT241" i="7"/>
  <c r="D241" i="7"/>
  <c r="B241" i="7"/>
  <c r="AC240" i="7"/>
  <c r="B240" i="7"/>
  <c r="AC239" i="7"/>
  <c r="D239" i="7" s="1"/>
  <c r="B239" i="7"/>
  <c r="D238" i="7"/>
  <c r="B238" i="7"/>
  <c r="AE237" i="7"/>
  <c r="AD237" i="7"/>
  <c r="AB237" i="7"/>
  <c r="AA237" i="7"/>
  <c r="Z237" i="7"/>
  <c r="Y237" i="7"/>
  <c r="X237" i="7"/>
  <c r="W237" i="7"/>
  <c r="V237" i="7"/>
  <c r="U237" i="7"/>
  <c r="T237" i="7"/>
  <c r="S237" i="7"/>
  <c r="R237" i="7"/>
  <c r="Q237" i="7"/>
  <c r="P237" i="7"/>
  <c r="O237" i="7"/>
  <c r="N237" i="7"/>
  <c r="M237" i="7"/>
  <c r="L237" i="7"/>
  <c r="K237" i="7"/>
  <c r="J237" i="7"/>
  <c r="I237" i="7"/>
  <c r="H237" i="7"/>
  <c r="G237" i="7"/>
  <c r="F237" i="7"/>
  <c r="E237" i="7"/>
  <c r="L236" i="7"/>
  <c r="D236" i="7"/>
  <c r="B236" i="7"/>
  <c r="D235" i="7"/>
  <c r="B235" i="7"/>
  <c r="AC234" i="7"/>
  <c r="D234" i="7" s="1"/>
  <c r="G234" i="7"/>
  <c r="B234" i="7"/>
  <c r="AC233" i="7"/>
  <c r="D233" i="7" s="1"/>
  <c r="B233" i="7"/>
  <c r="AC232" i="7"/>
  <c r="D232" i="7" s="1"/>
  <c r="B232" i="7"/>
  <c r="CD231" i="7"/>
  <c r="AC231" i="7"/>
  <c r="N231" i="7"/>
  <c r="B231" i="7"/>
  <c r="AE230" i="7"/>
  <c r="AD230" i="7"/>
  <c r="AB230" i="7"/>
  <c r="AA230" i="7"/>
  <c r="Z230" i="7"/>
  <c r="Y230" i="7"/>
  <c r="X230" i="7"/>
  <c r="W230" i="7"/>
  <c r="V230" i="7"/>
  <c r="U230" i="7"/>
  <c r="T230" i="7"/>
  <c r="S230" i="7"/>
  <c r="R230" i="7"/>
  <c r="Q230" i="7"/>
  <c r="P230" i="7"/>
  <c r="O230" i="7"/>
  <c r="N230" i="7"/>
  <c r="M230" i="7"/>
  <c r="L230" i="7"/>
  <c r="K230" i="7"/>
  <c r="J230" i="7"/>
  <c r="I230" i="7"/>
  <c r="H230" i="7"/>
  <c r="G230" i="7"/>
  <c r="F230" i="7"/>
  <c r="E230" i="7"/>
  <c r="D229" i="7"/>
  <c r="B229" i="7"/>
  <c r="D228" i="7"/>
  <c r="B228" i="7"/>
  <c r="D227" i="7"/>
  <c r="B227" i="7"/>
  <c r="D226" i="7"/>
  <c r="B226" i="7"/>
  <c r="D225" i="7"/>
  <c r="B225" i="7"/>
  <c r="D224" i="7"/>
  <c r="B224" i="7"/>
  <c r="D223" i="7"/>
  <c r="B223" i="7"/>
  <c r="D222" i="7"/>
  <c r="B222" i="7"/>
  <c r="D221" i="7"/>
  <c r="B221" i="7"/>
  <c r="AC220" i="7"/>
  <c r="D220" i="7" s="1"/>
  <c r="N220" i="7"/>
  <c r="B220" i="7"/>
  <c r="D219" i="7"/>
  <c r="B219" i="7"/>
  <c r="AC218" i="7"/>
  <c r="D218" i="7" s="1"/>
  <c r="R218" i="7"/>
  <c r="B218" i="7"/>
  <c r="AC217" i="7"/>
  <c r="D217" i="7" s="1"/>
  <c r="B217" i="7"/>
  <c r="D216" i="7"/>
  <c r="B216" i="7"/>
  <c r="AC215" i="7"/>
  <c r="D215" i="7" s="1"/>
  <c r="B215" i="7"/>
  <c r="CD214" i="7"/>
  <c r="AC214" i="7"/>
  <c r="D214" i="7" s="1"/>
  <c r="B214" i="7"/>
  <c r="AC213" i="7"/>
  <c r="D213" i="7" s="1"/>
  <c r="B213" i="7"/>
  <c r="AC212" i="7"/>
  <c r="D212" i="7" s="1"/>
  <c r="B212" i="7"/>
  <c r="CD211" i="7"/>
  <c r="AC211" i="7"/>
  <c r="D211" i="7" s="1"/>
  <c r="B211" i="7"/>
  <c r="AC210" i="7"/>
  <c r="D210" i="7" s="1"/>
  <c r="B210" i="7"/>
  <c r="AC209" i="7"/>
  <c r="D209" i="7" s="1"/>
  <c r="B209" i="7"/>
  <c r="CD208" i="7"/>
  <c r="AC208" i="7"/>
  <c r="D208" i="7" s="1"/>
  <c r="N208" i="7"/>
  <c r="B208" i="7"/>
  <c r="AC207" i="7"/>
  <c r="D207" i="7" s="1"/>
  <c r="B207" i="7"/>
  <c r="CD206" i="7"/>
  <c r="AC206" i="7"/>
  <c r="D206" i="7" s="1"/>
  <c r="B206" i="7"/>
  <c r="AC205" i="7"/>
  <c r="D205" i="7" s="1"/>
  <c r="B205" i="7"/>
  <c r="AC204" i="7"/>
  <c r="D204" i="7" s="1"/>
  <c r="G204" i="7"/>
  <c r="B204" i="7"/>
  <c r="D203" i="7"/>
  <c r="B203" i="7"/>
  <c r="D202" i="7"/>
  <c r="B202" i="7"/>
  <c r="D201" i="7"/>
  <c r="B201" i="7"/>
  <c r="D200" i="7"/>
  <c r="B200" i="7"/>
  <c r="AC199" i="7"/>
  <c r="D199" i="7" s="1"/>
  <c r="B199" i="7"/>
  <c r="AC198" i="7"/>
  <c r="B198" i="7"/>
  <c r="AC197" i="7"/>
  <c r="D197" i="7" s="1"/>
  <c r="B197" i="7"/>
  <c r="AE196" i="7"/>
  <c r="AD196" i="7"/>
  <c r="AB196" i="7"/>
  <c r="AA196" i="7"/>
  <c r="Z196" i="7"/>
  <c r="Y196" i="7"/>
  <c r="X196" i="7"/>
  <c r="W196" i="7"/>
  <c r="V196" i="7"/>
  <c r="U196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E196" i="7"/>
  <c r="AC195" i="7"/>
  <c r="D195" i="7" s="1"/>
  <c r="T195" i="7"/>
  <c r="N195" i="7"/>
  <c r="B195" i="7"/>
  <c r="AC194" i="7"/>
  <c r="D194" i="7" s="1"/>
  <c r="B194" i="7"/>
  <c r="AC193" i="7"/>
  <c r="D193" i="7" s="1"/>
  <c r="B193" i="7"/>
  <c r="CD192" i="7"/>
  <c r="AC192" i="7"/>
  <c r="D192" i="7" s="1"/>
  <c r="B192" i="7"/>
  <c r="AC191" i="7"/>
  <c r="D191" i="7" s="1"/>
  <c r="B191" i="7"/>
  <c r="AC190" i="7"/>
  <c r="D190" i="7" s="1"/>
  <c r="B190" i="7"/>
  <c r="AC189" i="7"/>
  <c r="D189" i="7" s="1"/>
  <c r="B189" i="7"/>
  <c r="AC188" i="7"/>
  <c r="D188" i="7" s="1"/>
  <c r="B188" i="7"/>
  <c r="AC187" i="7"/>
  <c r="D187" i="7" s="1"/>
  <c r="B187" i="7"/>
  <c r="AC186" i="7"/>
  <c r="D186" i="7" s="1"/>
  <c r="B186" i="7"/>
  <c r="D185" i="7"/>
  <c r="B185" i="7"/>
  <c r="D184" i="7"/>
  <c r="B184" i="7"/>
  <c r="D183" i="7"/>
  <c r="B183" i="7"/>
  <c r="AC182" i="7"/>
  <c r="D182" i="7" s="1"/>
  <c r="B182" i="7"/>
  <c r="AC181" i="7"/>
  <c r="D181" i="7" s="1"/>
  <c r="B181" i="7"/>
  <c r="AC180" i="7"/>
  <c r="D180" i="7" s="1"/>
  <c r="B180" i="7"/>
  <c r="AC179" i="7"/>
  <c r="D179" i="7" s="1"/>
  <c r="B179" i="7"/>
  <c r="D178" i="7"/>
  <c r="B178" i="7"/>
  <c r="AC177" i="7"/>
  <c r="D177" i="7" s="1"/>
  <c r="B177" i="7"/>
  <c r="AC176" i="7"/>
  <c r="D176" i="7" s="1"/>
  <c r="B176" i="7"/>
  <c r="D175" i="7"/>
  <c r="B175" i="7"/>
  <c r="AC174" i="7"/>
  <c r="D174" i="7" s="1"/>
  <c r="B174" i="7"/>
  <c r="CD173" i="7"/>
  <c r="AC173" i="7"/>
  <c r="D173" i="7" s="1"/>
  <c r="B173" i="7"/>
  <c r="AC172" i="7"/>
  <c r="D172" i="7" s="1"/>
  <c r="B172" i="7"/>
  <c r="AC171" i="7"/>
  <c r="D171" i="7" s="1"/>
  <c r="B171" i="7"/>
  <c r="CD170" i="7"/>
  <c r="AC170" i="7"/>
  <c r="D170" i="7" s="1"/>
  <c r="B170" i="7"/>
  <c r="AC169" i="7"/>
  <c r="D169" i="7" s="1"/>
  <c r="B169" i="7"/>
  <c r="AC168" i="7"/>
  <c r="D168" i="7" s="1"/>
  <c r="B168" i="7"/>
  <c r="CD167" i="7"/>
  <c r="AC167" i="7"/>
  <c r="D167" i="7" s="1"/>
  <c r="B167" i="7"/>
  <c r="CD166" i="7"/>
  <c r="AC166" i="7"/>
  <c r="D166" i="7"/>
  <c r="B166" i="7"/>
  <c r="AC165" i="7"/>
  <c r="D165" i="7" s="1"/>
  <c r="B165" i="7"/>
  <c r="AC164" i="7"/>
  <c r="D164" i="7" s="1"/>
  <c r="B164" i="7"/>
  <c r="D163" i="7"/>
  <c r="B163" i="7"/>
  <c r="CD162" i="7"/>
  <c r="AC162" i="7"/>
  <c r="D162" i="7" s="1"/>
  <c r="B162" i="7"/>
  <c r="AT161" i="7"/>
  <c r="D161" i="7"/>
  <c r="B161" i="7"/>
  <c r="AC160" i="7"/>
  <c r="D160" i="7" s="1"/>
  <c r="B160" i="7"/>
  <c r="AC159" i="7"/>
  <c r="D159" i="7" s="1"/>
  <c r="B159" i="7"/>
  <c r="CD158" i="7"/>
  <c r="AC158" i="7"/>
  <c r="D158" i="7"/>
  <c r="B158" i="7"/>
  <c r="AC157" i="7"/>
  <c r="D157" i="7" s="1"/>
  <c r="B157" i="7"/>
  <c r="CD156" i="7"/>
  <c r="AC156" i="7"/>
  <c r="D156" i="7" s="1"/>
  <c r="B156" i="7"/>
  <c r="AE155" i="7"/>
  <c r="AD155" i="7"/>
  <c r="AB155" i="7"/>
  <c r="AA155" i="7"/>
  <c r="Z155" i="7"/>
  <c r="Y155" i="7"/>
  <c r="X155" i="7"/>
  <c r="W155" i="7"/>
  <c r="V155" i="7"/>
  <c r="U155" i="7"/>
  <c r="T155" i="7"/>
  <c r="S155" i="7"/>
  <c r="R155" i="7"/>
  <c r="Q155" i="7"/>
  <c r="P155" i="7"/>
  <c r="O155" i="7"/>
  <c r="N155" i="7"/>
  <c r="M155" i="7"/>
  <c r="M20" i="7" s="1"/>
  <c r="L155" i="7"/>
  <c r="K155" i="7"/>
  <c r="J155" i="7"/>
  <c r="I155" i="7"/>
  <c r="H155" i="7"/>
  <c r="G155" i="7"/>
  <c r="F155" i="7"/>
  <c r="E155" i="7"/>
  <c r="E20" i="7" s="1"/>
  <c r="AD154" i="7"/>
  <c r="AC154" i="7"/>
  <c r="R154" i="7"/>
  <c r="D154" i="7"/>
  <c r="B154" i="7"/>
  <c r="AC153" i="7"/>
  <c r="D153" i="7" s="1"/>
  <c r="R153" i="7"/>
  <c r="B153" i="7"/>
  <c r="AC152" i="7"/>
  <c r="D152" i="7" s="1"/>
  <c r="N152" i="7"/>
  <c r="B152" i="7"/>
  <c r="CD151" i="7"/>
  <c r="AC151" i="7"/>
  <c r="D151" i="7" s="1"/>
  <c r="B151" i="7"/>
  <c r="CD150" i="7"/>
  <c r="AC150" i="7"/>
  <c r="D150" i="7" s="1"/>
  <c r="B150" i="7"/>
  <c r="AC149" i="7"/>
  <c r="D149" i="7" s="1"/>
  <c r="B149" i="7"/>
  <c r="AC148" i="7"/>
  <c r="D148" i="7" s="1"/>
  <c r="B148" i="7"/>
  <c r="AC147" i="7"/>
  <c r="D147" i="7" s="1"/>
  <c r="B147" i="7"/>
  <c r="D146" i="7"/>
  <c r="B146" i="7"/>
  <c r="AC145" i="7"/>
  <c r="D145" i="7" s="1"/>
  <c r="B145" i="7"/>
  <c r="AC144" i="7"/>
  <c r="D144" i="7" s="1"/>
  <c r="B144" i="7"/>
  <c r="AC143" i="7"/>
  <c r="D143" i="7"/>
  <c r="B143" i="7"/>
  <c r="AC142" i="7"/>
  <c r="D142" i="7" s="1"/>
  <c r="B142" i="7"/>
  <c r="AC141" i="7"/>
  <c r="D141" i="7" s="1"/>
  <c r="B141" i="7"/>
  <c r="AC140" i="7"/>
  <c r="D140" i="7" s="1"/>
  <c r="B140" i="7"/>
  <c r="AC139" i="7"/>
  <c r="D139" i="7" s="1"/>
  <c r="B139" i="7"/>
  <c r="AC138" i="7"/>
  <c r="D138" i="7" s="1"/>
  <c r="B138" i="7"/>
  <c r="AC137" i="7"/>
  <c r="D137" i="7"/>
  <c r="B137" i="7"/>
  <c r="AC136" i="7"/>
  <c r="D136" i="7" s="1"/>
  <c r="B136" i="7"/>
  <c r="AC135" i="7"/>
  <c r="D135" i="7" s="1"/>
  <c r="R135" i="7"/>
  <c r="B135" i="7"/>
  <c r="CD134" i="7"/>
  <c r="AC134" i="7"/>
  <c r="D134" i="7" s="1"/>
  <c r="B134" i="7"/>
  <c r="CD133" i="7"/>
  <c r="AC133" i="7"/>
  <c r="D133" i="7" s="1"/>
  <c r="B133" i="7"/>
  <c r="CD132" i="7"/>
  <c r="AC132" i="7"/>
  <c r="D132" i="7" s="1"/>
  <c r="B132" i="7"/>
  <c r="CD131" i="7"/>
  <c r="AC131" i="7"/>
  <c r="D131" i="7" s="1"/>
  <c r="B131" i="7"/>
  <c r="CD130" i="7"/>
  <c r="AC130" i="7"/>
  <c r="D130" i="7" s="1"/>
  <c r="B130" i="7"/>
  <c r="CD129" i="7"/>
  <c r="AC129" i="7"/>
  <c r="D129" i="7" s="1"/>
  <c r="B129" i="7"/>
  <c r="CD128" i="7"/>
  <c r="AC128" i="7"/>
  <c r="D128" i="7" s="1"/>
  <c r="B128" i="7"/>
  <c r="CD127" i="7"/>
  <c r="AC127" i="7"/>
  <c r="D127" i="7" s="1"/>
  <c r="B127" i="7"/>
  <c r="AC126" i="7"/>
  <c r="D126" i="7" s="1"/>
  <c r="B126" i="7"/>
  <c r="AC125" i="7"/>
  <c r="D125" i="7" s="1"/>
  <c r="B125" i="7"/>
  <c r="CD124" i="7"/>
  <c r="AC124" i="7"/>
  <c r="D124" i="7" s="1"/>
  <c r="B124" i="7"/>
  <c r="CD123" i="7"/>
  <c r="AC123" i="7"/>
  <c r="D123" i="7" s="1"/>
  <c r="B123" i="7"/>
  <c r="AE122" i="7"/>
  <c r="AD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P122" i="7"/>
  <c r="O122" i="7"/>
  <c r="N122" i="7"/>
  <c r="M122" i="7"/>
  <c r="L122" i="7"/>
  <c r="K122" i="7"/>
  <c r="J122" i="7"/>
  <c r="I122" i="7"/>
  <c r="H122" i="7"/>
  <c r="G122" i="7"/>
  <c r="F122" i="7"/>
  <c r="E122" i="7"/>
  <c r="D121" i="7"/>
  <c r="B121" i="7"/>
  <c r="D120" i="7"/>
  <c r="B120" i="7"/>
  <c r="D119" i="7"/>
  <c r="B119" i="7"/>
  <c r="D118" i="7"/>
  <c r="B118" i="7"/>
  <c r="D117" i="7"/>
  <c r="B117" i="7"/>
  <c r="D116" i="7"/>
  <c r="B116" i="7"/>
  <c r="D115" i="7"/>
  <c r="B115" i="7"/>
  <c r="D114" i="7"/>
  <c r="B114" i="7"/>
  <c r="CD113" i="7"/>
  <c r="D113" i="7"/>
  <c r="B113" i="7"/>
  <c r="D112" i="7"/>
  <c r="B112" i="7"/>
  <c r="CD111" i="7"/>
  <c r="D111" i="7"/>
  <c r="B111" i="7"/>
  <c r="CD110" i="7"/>
  <c r="D110" i="7"/>
  <c r="B110" i="7"/>
  <c r="CD109" i="7"/>
  <c r="D109" i="7"/>
  <c r="B109" i="7"/>
  <c r="CD108" i="7"/>
  <c r="D108" i="7"/>
  <c r="B108" i="7"/>
  <c r="CD107" i="7"/>
  <c r="D107" i="7"/>
  <c r="B107" i="7"/>
  <c r="CD106" i="7"/>
  <c r="D106" i="7"/>
  <c r="B106" i="7"/>
  <c r="D105" i="7"/>
  <c r="B105" i="7"/>
  <c r="D104" i="7"/>
  <c r="B104" i="7"/>
  <c r="D103" i="7"/>
  <c r="B103" i="7"/>
  <c r="D102" i="7"/>
  <c r="B102" i="7"/>
  <c r="D101" i="7"/>
  <c r="B101" i="7"/>
  <c r="CD100" i="7"/>
  <c r="D100" i="7"/>
  <c r="B100" i="7"/>
  <c r="D99" i="7"/>
  <c r="B99" i="7"/>
  <c r="D98" i="7"/>
  <c r="B98" i="7"/>
  <c r="D97" i="7"/>
  <c r="B97" i="7"/>
  <c r="D96" i="7"/>
  <c r="B96" i="7"/>
  <c r="CD95" i="7"/>
  <c r="D95" i="7"/>
  <c r="B95" i="7"/>
  <c r="D94" i="7"/>
  <c r="B94" i="7"/>
  <c r="D93" i="7"/>
  <c r="B93" i="7"/>
  <c r="D92" i="7"/>
  <c r="B92" i="7"/>
  <c r="CD91" i="7"/>
  <c r="D91" i="7"/>
  <c r="B91" i="7"/>
  <c r="CD90" i="7"/>
  <c r="D90" i="7"/>
  <c r="B90" i="7"/>
  <c r="CD89" i="7"/>
  <c r="D89" i="7"/>
  <c r="B89" i="7"/>
  <c r="CD88" i="7"/>
  <c r="D88" i="7"/>
  <c r="B88" i="7"/>
  <c r="D87" i="7"/>
  <c r="B87" i="7"/>
  <c r="CD86" i="7"/>
  <c r="D86" i="7"/>
  <c r="B86" i="7"/>
  <c r="D85" i="7"/>
  <c r="B85" i="7"/>
  <c r="CD84" i="7"/>
  <c r="D84" i="7"/>
  <c r="B84" i="7"/>
  <c r="CD83" i="7"/>
  <c r="D83" i="7"/>
  <c r="B83" i="7"/>
  <c r="D82" i="7"/>
  <c r="B82" i="7"/>
  <c r="D81" i="7"/>
  <c r="B81" i="7"/>
  <c r="D80" i="7"/>
  <c r="B80" i="7"/>
  <c r="CD79" i="7"/>
  <c r="D79" i="7"/>
  <c r="B79" i="7"/>
  <c r="CD78" i="7"/>
  <c r="D78" i="7"/>
  <c r="B78" i="7"/>
  <c r="CD77" i="7"/>
  <c r="D77" i="7"/>
  <c r="B77" i="7"/>
  <c r="D76" i="7"/>
  <c r="B76" i="7"/>
  <c r="D75" i="7"/>
  <c r="B75" i="7"/>
  <c r="D74" i="7"/>
  <c r="B74" i="7"/>
  <c r="D73" i="7"/>
  <c r="B73" i="7"/>
  <c r="CD72" i="7"/>
  <c r="D72" i="7"/>
  <c r="B72" i="7"/>
  <c r="CD71" i="7"/>
  <c r="D71" i="7"/>
  <c r="B71" i="7"/>
  <c r="D70" i="7"/>
  <c r="B70" i="7"/>
  <c r="CD69" i="7"/>
  <c r="D69" i="7"/>
  <c r="B69" i="7"/>
  <c r="CD68" i="7"/>
  <c r="D68" i="7"/>
  <c r="B68" i="7"/>
  <c r="D67" i="7"/>
  <c r="B67" i="7"/>
  <c r="CD66" i="7"/>
  <c r="D66" i="7"/>
  <c r="B66" i="7"/>
  <c r="D65" i="7"/>
  <c r="B65" i="7"/>
  <c r="CD64" i="7"/>
  <c r="D64" i="7"/>
  <c r="B64" i="7"/>
  <c r="CD63" i="7"/>
  <c r="D63" i="7"/>
  <c r="B63" i="7"/>
  <c r="CD62" i="7"/>
  <c r="D62" i="7"/>
  <c r="B62" i="7"/>
  <c r="CD61" i="7"/>
  <c r="D61" i="7"/>
  <c r="B61" i="7"/>
  <c r="CD60" i="7"/>
  <c r="D60" i="7"/>
  <c r="B60" i="7"/>
  <c r="D59" i="7"/>
  <c r="B59" i="7"/>
  <c r="CD58" i="7"/>
  <c r="D58" i="7"/>
  <c r="B58" i="7"/>
  <c r="CD57" i="7"/>
  <c r="D57" i="7"/>
  <c r="B57" i="7"/>
  <c r="D56" i="7"/>
  <c r="B56" i="7"/>
  <c r="D55" i="7"/>
  <c r="B55" i="7"/>
  <c r="D54" i="7"/>
  <c r="B54" i="7"/>
  <c r="CD53" i="7"/>
  <c r="D53" i="7"/>
  <c r="B53" i="7"/>
  <c r="D52" i="7"/>
  <c r="B52" i="7"/>
  <c r="D51" i="7"/>
  <c r="B51" i="7"/>
  <c r="D50" i="7"/>
  <c r="B50" i="7"/>
  <c r="D49" i="7"/>
  <c r="B49" i="7"/>
  <c r="D48" i="7"/>
  <c r="B48" i="7"/>
  <c r="D47" i="7"/>
  <c r="B47" i="7"/>
  <c r="D46" i="7"/>
  <c r="B46" i="7"/>
  <c r="D45" i="7"/>
  <c r="B45" i="7"/>
  <c r="D44" i="7"/>
  <c r="B44" i="7"/>
  <c r="D43" i="7"/>
  <c r="B43" i="7"/>
  <c r="D42" i="7"/>
  <c r="B42" i="7"/>
  <c r="D41" i="7"/>
  <c r="B41" i="7"/>
  <c r="D40" i="7"/>
  <c r="B40" i="7"/>
  <c r="D39" i="7"/>
  <c r="B39" i="7"/>
  <c r="D38" i="7"/>
  <c r="B38" i="7"/>
  <c r="AT37" i="7"/>
  <c r="D37" i="7"/>
  <c r="B37" i="7"/>
  <c r="CD36" i="7"/>
  <c r="D36" i="7"/>
  <c r="B36" i="7"/>
  <c r="CD35" i="7"/>
  <c r="D35" i="7"/>
  <c r="B35" i="7"/>
  <c r="D34" i="7"/>
  <c r="B34" i="7"/>
  <c r="D33" i="7"/>
  <c r="B33" i="7"/>
  <c r="CD32" i="7"/>
  <c r="D32" i="7"/>
  <c r="B32" i="7"/>
  <c r="D31" i="7"/>
  <c r="B31" i="7"/>
  <c r="D30" i="7"/>
  <c r="B30" i="7"/>
  <c r="D29" i="7"/>
  <c r="B29" i="7"/>
  <c r="CD28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I63" i="9" l="1"/>
  <c r="P63" i="9" s="1"/>
  <c r="Q63" i="9"/>
  <c r="I10" i="9"/>
  <c r="P10" i="9" s="1"/>
  <c r="K34" i="9"/>
  <c r="K42" i="9"/>
  <c r="AB64" i="8"/>
  <c r="Q11" i="8"/>
  <c r="U11" i="8"/>
  <c r="Y11" i="8"/>
  <c r="AC11" i="8"/>
  <c r="I11" i="8"/>
  <c r="M11" i="8"/>
  <c r="O64" i="8"/>
  <c r="F32" i="8"/>
  <c r="AE12" i="8"/>
  <c r="F55" i="8"/>
  <c r="F53" i="8" s="1"/>
  <c r="N64" i="8"/>
  <c r="R64" i="8"/>
  <c r="V64" i="8"/>
  <c r="Z64" i="8"/>
  <c r="AD64" i="8"/>
  <c r="W64" i="8"/>
  <c r="AF64" i="8"/>
  <c r="AE181" i="8"/>
  <c r="AE189" i="8"/>
  <c r="F38" i="8"/>
  <c r="F35" i="8" s="1"/>
  <c r="AE35" i="8"/>
  <c r="F14" i="8"/>
  <c r="K64" i="8"/>
  <c r="F72" i="8"/>
  <c r="F99" i="8"/>
  <c r="AE131" i="8"/>
  <c r="J11" i="8"/>
  <c r="N11" i="8"/>
  <c r="S11" i="8"/>
  <c r="W11" i="8"/>
  <c r="AA11" i="8"/>
  <c r="F28" i="8"/>
  <c r="F27" i="8" s="1"/>
  <c r="AE27" i="8"/>
  <c r="F42" i="8"/>
  <c r="F41" i="8" s="1"/>
  <c r="AE41" i="8"/>
  <c r="G64" i="8"/>
  <c r="S64" i="8"/>
  <c r="AA64" i="8"/>
  <c r="H64" i="8"/>
  <c r="L64" i="8"/>
  <c r="AE158" i="8"/>
  <c r="F158" i="8"/>
  <c r="F168" i="8"/>
  <c r="F167" i="8" s="1"/>
  <c r="AE167" i="8"/>
  <c r="E11" i="8"/>
  <c r="AE14" i="8"/>
  <c r="F26" i="8"/>
  <c r="F25" i="8" s="1"/>
  <c r="AE25" i="8"/>
  <c r="F40" i="8"/>
  <c r="F39" i="8" s="1"/>
  <c r="AE39" i="8"/>
  <c r="AE72" i="8"/>
  <c r="AE99" i="8"/>
  <c r="F107" i="8"/>
  <c r="F104" i="8" s="1"/>
  <c r="AE104" i="8"/>
  <c r="F131" i="8"/>
  <c r="F146" i="8"/>
  <c r="F145" i="8" s="1"/>
  <c r="AE145" i="8"/>
  <c r="F166" i="8"/>
  <c r="F165" i="8" s="1"/>
  <c r="AE165" i="8"/>
  <c r="G11" i="8"/>
  <c r="K11" i="8"/>
  <c r="T11" i="8"/>
  <c r="X11" i="8"/>
  <c r="AB11" i="8"/>
  <c r="AF11" i="8"/>
  <c r="F30" i="8"/>
  <c r="F29" i="8" s="1"/>
  <c r="AE29" i="8"/>
  <c r="F44" i="8"/>
  <c r="F43" i="8" s="1"/>
  <c r="AE43" i="8"/>
  <c r="F68" i="8"/>
  <c r="F65" i="8" s="1"/>
  <c r="AE65" i="8"/>
  <c r="AE64" i="8" s="1"/>
  <c r="F95" i="8"/>
  <c r="F92" i="8" s="1"/>
  <c r="AE92" i="8"/>
  <c r="X64" i="8"/>
  <c r="F177" i="8"/>
  <c r="O11" i="8"/>
  <c r="P11" i="8"/>
  <c r="AE32" i="8"/>
  <c r="F75" i="8"/>
  <c r="AE151" i="8"/>
  <c r="I64" i="8"/>
  <c r="M64" i="8"/>
  <c r="Q64" i="8"/>
  <c r="U64" i="8"/>
  <c r="Y64" i="8"/>
  <c r="AC64" i="8"/>
  <c r="AG64" i="8"/>
  <c r="AE173" i="8"/>
  <c r="AE175" i="8"/>
  <c r="AE177" i="8"/>
  <c r="T64" i="8"/>
  <c r="AC1112" i="7"/>
  <c r="AC465" i="7"/>
  <c r="AC517" i="7"/>
  <c r="AC847" i="7"/>
  <c r="AC929" i="7"/>
  <c r="AC1152" i="7"/>
  <c r="AC1162" i="7"/>
  <c r="AC1172" i="7"/>
  <c r="D1188" i="7"/>
  <c r="AC546" i="7"/>
  <c r="AC1103" i="7"/>
  <c r="D864" i="7"/>
  <c r="X946" i="7"/>
  <c r="D1123" i="7"/>
  <c r="CB1123" i="7" s="1"/>
  <c r="U20" i="7"/>
  <c r="AC455" i="7"/>
  <c r="D519" i="7"/>
  <c r="D517" i="7" s="1"/>
  <c r="CB517" i="7" s="1"/>
  <c r="AC849" i="7"/>
  <c r="AC907" i="7"/>
  <c r="AC912" i="7"/>
  <c r="AC918" i="7"/>
  <c r="D933" i="7"/>
  <c r="AC1174" i="7"/>
  <c r="AC1198" i="7"/>
  <c r="AC914" i="7"/>
  <c r="D21" i="7"/>
  <c r="AC524" i="7"/>
  <c r="L552" i="7"/>
  <c r="P552" i="7"/>
  <c r="X552" i="7"/>
  <c r="AC899" i="7"/>
  <c r="AD946" i="7"/>
  <c r="K10" i="9"/>
  <c r="P11" i="9"/>
  <c r="J63" i="9"/>
  <c r="AE23" i="8"/>
  <c r="S469" i="3"/>
  <c r="S14" i="3" s="1"/>
  <c r="S13" i="3" s="1"/>
  <c r="V480" i="3"/>
  <c r="U469" i="3"/>
  <c r="V469" i="3" s="1"/>
  <c r="D546" i="7"/>
  <c r="CB546" i="7" s="1"/>
  <c r="D1103" i="7"/>
  <c r="AC531" i="7"/>
  <c r="AC1209" i="7"/>
  <c r="D387" i="7"/>
  <c r="G552" i="7"/>
  <c r="K552" i="7"/>
  <c r="O552" i="7"/>
  <c r="S552" i="7"/>
  <c r="W552" i="7"/>
  <c r="AA552" i="7"/>
  <c r="AE552" i="7"/>
  <c r="AC1146" i="7"/>
  <c r="H20" i="7"/>
  <c r="P20" i="7"/>
  <c r="X20" i="7"/>
  <c r="AC354" i="7"/>
  <c r="AC421" i="7"/>
  <c r="AC487" i="7"/>
  <c r="AC500" i="7"/>
  <c r="AC810" i="7"/>
  <c r="AC843" i="7"/>
  <c r="AC851" i="7"/>
  <c r="H946" i="7"/>
  <c r="AC1065" i="7"/>
  <c r="AC1074" i="7"/>
  <c r="D1074" i="7"/>
  <c r="D531" i="7"/>
  <c r="CB531" i="7" s="1"/>
  <c r="AC1088" i="7"/>
  <c r="AC287" i="7"/>
  <c r="D487" i="7"/>
  <c r="AC508" i="7"/>
  <c r="D876" i="7"/>
  <c r="N946" i="7"/>
  <c r="L20" i="7"/>
  <c r="T20" i="7"/>
  <c r="AB20" i="7"/>
  <c r="I20" i="7"/>
  <c r="Q20" i="7"/>
  <c r="Y20" i="7"/>
  <c r="D443" i="7"/>
  <c r="D442" i="7" s="1"/>
  <c r="AC885" i="7"/>
  <c r="AC933" i="7"/>
  <c r="AC937" i="7"/>
  <c r="AC944" i="7"/>
  <c r="AC1142" i="7"/>
  <c r="D155" i="7"/>
  <c r="D384" i="7"/>
  <c r="D383" i="7" s="1"/>
  <c r="AC383" i="7"/>
  <c r="D460" i="7"/>
  <c r="D459" i="7" s="1"/>
  <c r="AC459" i="7"/>
  <c r="D551" i="7"/>
  <c r="D550" i="7" s="1"/>
  <c r="CB550" i="7" s="1"/>
  <c r="AC550" i="7"/>
  <c r="D516" i="7"/>
  <c r="D515" i="7" s="1"/>
  <c r="CB515" i="7" s="1"/>
  <c r="AC515" i="7"/>
  <c r="D526" i="7"/>
  <c r="CB526" i="7" s="1"/>
  <c r="D785" i="7"/>
  <c r="CB785" i="7" s="1"/>
  <c r="D863" i="7"/>
  <c r="D862" i="7" s="1"/>
  <c r="AC862" i="7"/>
  <c r="L946" i="7"/>
  <c r="T946" i="7"/>
  <c r="AE20" i="7"/>
  <c r="AC280" i="7"/>
  <c r="D303" i="7"/>
  <c r="D302" i="7" s="1"/>
  <c r="AC302" i="7"/>
  <c r="D351" i="7"/>
  <c r="CB351" i="7" s="1"/>
  <c r="D386" i="7"/>
  <c r="D385" i="7" s="1"/>
  <c r="AC385" i="7"/>
  <c r="AC475" i="7"/>
  <c r="D475" i="7"/>
  <c r="CB475" i="7" s="1"/>
  <c r="D497" i="7"/>
  <c r="D496" i="7" s="1"/>
  <c r="AC496" i="7"/>
  <c r="D507" i="7"/>
  <c r="D506" i="7" s="1"/>
  <c r="CB506" i="7" s="1"/>
  <c r="AC506" i="7"/>
  <c r="AC705" i="7"/>
  <c r="AC785" i="7"/>
  <c r="D809" i="7"/>
  <c r="D807" i="7" s="1"/>
  <c r="AC807" i="7"/>
  <c r="AC871" i="7"/>
  <c r="F946" i="7"/>
  <c r="V946" i="7"/>
  <c r="D122" i="7"/>
  <c r="CB122" i="7" s="1"/>
  <c r="D359" i="7"/>
  <c r="D358" i="7" s="1"/>
  <c r="CB358" i="7" s="1"/>
  <c r="AC358" i="7"/>
  <c r="D447" i="7"/>
  <c r="D445" i="7" s="1"/>
  <c r="AC445" i="7"/>
  <c r="D917" i="7"/>
  <c r="D916" i="7" s="1"/>
  <c r="AC916" i="7"/>
  <c r="D1080" i="7"/>
  <c r="D1078" i="7" s="1"/>
  <c r="AC1078" i="7"/>
  <c r="D1134" i="7"/>
  <c r="D1133" i="7" s="1"/>
  <c r="AC1133" i="7"/>
  <c r="AC1196" i="7"/>
  <c r="D1197" i="7"/>
  <c r="D1196" i="7" s="1"/>
  <c r="D1202" i="7"/>
  <c r="D1200" i="7" s="1"/>
  <c r="AC1200" i="7"/>
  <c r="D404" i="7"/>
  <c r="J20" i="7"/>
  <c r="N20" i="7"/>
  <c r="V20" i="7"/>
  <c r="Z20" i="7"/>
  <c r="P946" i="7"/>
  <c r="AB946" i="7"/>
  <c r="D1062" i="7"/>
  <c r="D1208" i="7"/>
  <c r="D1207" i="7" s="1"/>
  <c r="AC1207" i="7"/>
  <c r="AC1213" i="7"/>
  <c r="D1213" i="7"/>
  <c r="D469" i="7"/>
  <c r="CB469" i="7" s="1"/>
  <c r="AC540" i="7"/>
  <c r="D541" i="7"/>
  <c r="D540" i="7" s="1"/>
  <c r="F552" i="7"/>
  <c r="J552" i="7"/>
  <c r="N552" i="7"/>
  <c r="R552" i="7"/>
  <c r="V552" i="7"/>
  <c r="Z552" i="7"/>
  <c r="AD552" i="7"/>
  <c r="H552" i="7"/>
  <c r="T552" i="7"/>
  <c r="AB552" i="7"/>
  <c r="AB19" i="7" s="1"/>
  <c r="D765" i="7"/>
  <c r="D764" i="7" s="1"/>
  <c r="AC764" i="7"/>
  <c r="D810" i="7"/>
  <c r="D815" i="7"/>
  <c r="D1098" i="7"/>
  <c r="D1095" i="7" s="1"/>
  <c r="AC1095" i="7"/>
  <c r="AC285" i="7"/>
  <c r="G20" i="7"/>
  <c r="K20" i="7"/>
  <c r="O20" i="7"/>
  <c r="S20" i="7"/>
  <c r="W20" i="7"/>
  <c r="AA20" i="7"/>
  <c r="D347" i="7"/>
  <c r="CB347" i="7" s="1"/>
  <c r="D380" i="7"/>
  <c r="CB380" i="7" s="1"/>
  <c r="AC387" i="7"/>
  <c r="AC461" i="7"/>
  <c r="AC815" i="7"/>
  <c r="D820" i="7"/>
  <c r="D828" i="7"/>
  <c r="D827" i="7" s="1"/>
  <c r="AC827" i="7"/>
  <c r="D846" i="7"/>
  <c r="D845" i="7" s="1"/>
  <c r="CB845" i="7" s="1"/>
  <c r="AC845" i="7"/>
  <c r="E946" i="7"/>
  <c r="I946" i="7"/>
  <c r="M946" i="7"/>
  <c r="Q946" i="7"/>
  <c r="U946" i="7"/>
  <c r="Y946" i="7"/>
  <c r="J946" i="7"/>
  <c r="R946" i="7"/>
  <c r="Z946" i="7"/>
  <c r="AC1062" i="7"/>
  <c r="AC1093" i="7"/>
  <c r="D1094" i="7"/>
  <c r="D1093" i="7" s="1"/>
  <c r="D1120" i="7"/>
  <c r="D1119" i="7" s="1"/>
  <c r="AC1119" i="7"/>
  <c r="D1185" i="7"/>
  <c r="D1184" i="7" s="1"/>
  <c r="AC1184" i="7"/>
  <c r="AD20" i="7"/>
  <c r="D322" i="7"/>
  <c r="CB322" i="7" s="1"/>
  <c r="E552" i="7"/>
  <c r="I552" i="7"/>
  <c r="M552" i="7"/>
  <c r="Q552" i="7"/>
  <c r="U552" i="7"/>
  <c r="Y552" i="7"/>
  <c r="D553" i="7"/>
  <c r="D687" i="7"/>
  <c r="CB687" i="7" s="1"/>
  <c r="D854" i="7"/>
  <c r="D853" i="7" s="1"/>
  <c r="AC853" i="7"/>
  <c r="AC931" i="7"/>
  <c r="D932" i="7"/>
  <c r="D931" i="7" s="1"/>
  <c r="D1087" i="7"/>
  <c r="D1086" i="7" s="1"/>
  <c r="AC1086" i="7"/>
  <c r="AC1188" i="7"/>
  <c r="D834" i="7"/>
  <c r="CB834" i="7" s="1"/>
  <c r="D901" i="7"/>
  <c r="D1022" i="7"/>
  <c r="D1130" i="7"/>
  <c r="AC834" i="7"/>
  <c r="D871" i="7"/>
  <c r="D920" i="7"/>
  <c r="D924" i="7"/>
  <c r="G946" i="7"/>
  <c r="K946" i="7"/>
  <c r="O946" i="7"/>
  <c r="S946" i="7"/>
  <c r="W946" i="7"/>
  <c r="AA946" i="7"/>
  <c r="AE946" i="7"/>
  <c r="D1088" i="7"/>
  <c r="AC1123" i="7"/>
  <c r="K63" i="9"/>
  <c r="L63" i="9"/>
  <c r="P64" i="9"/>
  <c r="AE75" i="8"/>
  <c r="F151" i="8"/>
  <c r="P64" i="8"/>
  <c r="F170" i="8"/>
  <c r="AE170" i="8"/>
  <c r="U231" i="3"/>
  <c r="V232" i="3"/>
  <c r="R20" i="7"/>
  <c r="F20" i="7"/>
  <c r="F19" i="7" s="1"/>
  <c r="CB155" i="7"/>
  <c r="D267" i="7"/>
  <c r="D265" i="7" s="1"/>
  <c r="AC265" i="7"/>
  <c r="AC340" i="7"/>
  <c r="D343" i="7"/>
  <c r="D340" i="7" s="1"/>
  <c r="CB340" i="7" s="1"/>
  <c r="D240" i="7"/>
  <c r="D237" i="7" s="1"/>
  <c r="CB237" i="7" s="1"/>
  <c r="AC237" i="7"/>
  <c r="AC273" i="7"/>
  <c r="D274" i="7"/>
  <c r="D273" i="7" s="1"/>
  <c r="D296" i="7"/>
  <c r="D304" i="7"/>
  <c r="CB304" i="7" s="1"/>
  <c r="D398" i="7"/>
  <c r="D397" i="7" s="1"/>
  <c r="AC397" i="7"/>
  <c r="D231" i="7"/>
  <c r="D230" i="7" s="1"/>
  <c r="CB230" i="7" s="1"/>
  <c r="AC230" i="7"/>
  <c r="D280" i="7"/>
  <c r="AC290" i="7"/>
  <c r="D291" i="7"/>
  <c r="D290" i="7" s="1"/>
  <c r="D354" i="7"/>
  <c r="CB354" i="7" s="1"/>
  <c r="AC364" i="7"/>
  <c r="D366" i="7"/>
  <c r="D364" i="7" s="1"/>
  <c r="AC392" i="7"/>
  <c r="D393" i="7"/>
  <c r="D392" i="7" s="1"/>
  <c r="D417" i="7"/>
  <c r="D415" i="7" s="1"/>
  <c r="AC415" i="7"/>
  <c r="D198" i="7"/>
  <c r="D196" i="7" s="1"/>
  <c r="CB196" i="7" s="1"/>
  <c r="AC196" i="7"/>
  <c r="D287" i="7"/>
  <c r="CB287" i="7" s="1"/>
  <c r="AC296" i="7"/>
  <c r="AC322" i="7"/>
  <c r="AC347" i="7"/>
  <c r="D403" i="7"/>
  <c r="D402" i="7" s="1"/>
  <c r="AC402" i="7"/>
  <c r="AC304" i="7"/>
  <c r="AC362" i="7"/>
  <c r="AC395" i="7"/>
  <c r="AC436" i="7"/>
  <c r="D510" i="7"/>
  <c r="CB510" i="7" s="1"/>
  <c r="D705" i="7"/>
  <c r="CB705" i="7" s="1"/>
  <c r="AC122" i="7"/>
  <c r="AC155" i="7"/>
  <c r="D414" i="7"/>
  <c r="D413" i="7" s="1"/>
  <c r="AC413" i="7"/>
  <c r="D431" i="7"/>
  <c r="D428" i="7" s="1"/>
  <c r="AC428" i="7"/>
  <c r="D436" i="7"/>
  <c r="CB436" i="7" s="1"/>
  <c r="D500" i="7"/>
  <c r="AC404" i="7"/>
  <c r="AC411" i="7"/>
  <c r="AC687" i="7"/>
  <c r="AC498" i="7"/>
  <c r="AC526" i="7"/>
  <c r="D789" i="7"/>
  <c r="CB789" i="7" s="1"/>
  <c r="AC423" i="7"/>
  <c r="AC463" i="7"/>
  <c r="D514" i="7"/>
  <c r="D513" i="7" s="1"/>
  <c r="CB513" i="7" s="1"/>
  <c r="D530" i="7"/>
  <c r="D529" i="7" s="1"/>
  <c r="CB529" i="7" s="1"/>
  <c r="AC469" i="7"/>
  <c r="AC510" i="7"/>
  <c r="AC789" i="7"/>
  <c r="AC820" i="7"/>
  <c r="AC823" i="7"/>
  <c r="AC839" i="7"/>
  <c r="D840" i="7"/>
  <c r="D839" i="7" s="1"/>
  <c r="D907" i="7"/>
  <c r="D893" i="7"/>
  <c r="D842" i="7"/>
  <c r="D841" i="7" s="1"/>
  <c r="AC841" i="7"/>
  <c r="AC939" i="7"/>
  <c r="D940" i="7"/>
  <c r="D939" i="7" s="1"/>
  <c r="D947" i="7"/>
  <c r="D1051" i="7"/>
  <c r="D1050" i="7" s="1"/>
  <c r="AC1050" i="7"/>
  <c r="AC1168" i="7"/>
  <c r="D1169" i="7"/>
  <c r="D1168" i="7" s="1"/>
  <c r="AC864" i="7"/>
  <c r="AC867" i="7"/>
  <c r="AC876" i="7"/>
  <c r="AC879" i="7"/>
  <c r="AC887" i="7"/>
  <c r="AC901" i="7"/>
  <c r="AC920" i="7"/>
  <c r="AC924" i="7"/>
  <c r="D1065" i="7"/>
  <c r="D1149" i="7"/>
  <c r="D1148" i="7" s="1"/>
  <c r="AC1148" i="7"/>
  <c r="AC893" i="7"/>
  <c r="AC1022" i="7"/>
  <c r="AC1158" i="7"/>
  <c r="D1159" i="7"/>
  <c r="D1158" i="7" s="1"/>
  <c r="D1181" i="7"/>
  <c r="AC942" i="7"/>
  <c r="D943" i="7"/>
  <c r="D942" i="7" s="1"/>
  <c r="AC1007" i="7"/>
  <c r="D1008" i="7"/>
  <c r="D1007" i="7" s="1"/>
  <c r="CB1007" i="7" s="1"/>
  <c r="AC1084" i="7"/>
  <c r="D1085" i="7"/>
  <c r="D1084" i="7" s="1"/>
  <c r="AC1117" i="7"/>
  <c r="D1118" i="7"/>
  <c r="D1117" i="7" s="1"/>
  <c r="D1179" i="7"/>
  <c r="D1178" i="7" s="1"/>
  <c r="AC1178" i="7"/>
  <c r="D1107" i="7"/>
  <c r="D1106" i="7" s="1"/>
  <c r="AC1106" i="7"/>
  <c r="D1138" i="7"/>
  <c r="D1137" i="7" s="1"/>
  <c r="AC1137" i="7"/>
  <c r="D1141" i="7"/>
  <c r="D1140" i="7" s="1"/>
  <c r="D1151" i="7"/>
  <c r="D1150" i="7" s="1"/>
  <c r="AC1181" i="7"/>
  <c r="D1109" i="7"/>
  <c r="D1108" i="7" s="1"/>
  <c r="D1157" i="7"/>
  <c r="D1156" i="7" s="1"/>
  <c r="AC1156" i="7"/>
  <c r="D1167" i="7"/>
  <c r="D1166" i="7" s="1"/>
  <c r="AC1166" i="7"/>
  <c r="D1082" i="7"/>
  <c r="D1081" i="7" s="1"/>
  <c r="AC1081" i="7"/>
  <c r="D1092" i="7"/>
  <c r="D1091" i="7" s="1"/>
  <c r="AC1091" i="7"/>
  <c r="D1115" i="7"/>
  <c r="D1114" i="7" s="1"/>
  <c r="AC1114" i="7"/>
  <c r="D1142" i="7"/>
  <c r="D1194" i="7"/>
  <c r="D1193" i="7" s="1"/>
  <c r="AC1193" i="7"/>
  <c r="D1204" i="7"/>
  <c r="D1203" i="7" s="1"/>
  <c r="AC1203" i="7"/>
  <c r="AC1211" i="7"/>
  <c r="F11" i="8" l="1"/>
  <c r="F64" i="8"/>
  <c r="AE11" i="8"/>
  <c r="I19" i="7"/>
  <c r="T19" i="7"/>
  <c r="E19" i="7"/>
  <c r="Q19" i="7"/>
  <c r="H19" i="7"/>
  <c r="L19" i="7"/>
  <c r="X19" i="7"/>
  <c r="M19" i="7"/>
  <c r="AD19" i="7"/>
  <c r="P19" i="7"/>
  <c r="AE19" i="7"/>
  <c r="V19" i="7"/>
  <c r="Y19" i="7"/>
  <c r="O19" i="7"/>
  <c r="AA19" i="7"/>
  <c r="K19" i="7"/>
  <c r="AC552" i="7"/>
  <c r="N19" i="7"/>
  <c r="R19" i="7"/>
  <c r="W19" i="7"/>
  <c r="G19" i="7"/>
  <c r="J19" i="7"/>
  <c r="AC946" i="7"/>
  <c r="U19" i="7"/>
  <c r="S19" i="7"/>
  <c r="Z19" i="7"/>
  <c r="U14" i="3"/>
  <c r="U13" i="3" s="1"/>
  <c r="V231" i="3"/>
  <c r="AC20" i="7"/>
  <c r="AW364" i="7"/>
  <c r="CB364" i="7"/>
  <c r="D552" i="7"/>
  <c r="CB500" i="7"/>
  <c r="CE500" i="7"/>
  <c r="D946" i="7"/>
  <c r="D20" i="7"/>
  <c r="AC19" i="7" l="1"/>
  <c r="D19" i="7"/>
  <c r="CD945" i="7"/>
  <c r="CD942" i="7"/>
  <c r="CD939" i="7"/>
  <c r="CD934" i="7"/>
  <c r="CD931" i="7"/>
  <c r="CD926" i="7"/>
  <c r="CD923" i="7"/>
  <c r="CD941" i="7"/>
  <c r="CD938" i="7"/>
  <c r="CD935" i="7"/>
  <c r="CD929" i="7"/>
  <c r="CD928" i="7"/>
  <c r="CD927" i="7"/>
  <c r="CD922" i="7"/>
  <c r="CD919" i="7"/>
  <c r="CD917" i="7"/>
  <c r="CD914" i="7"/>
  <c r="CD912" i="7"/>
  <c r="CD903" i="7"/>
  <c r="CD900" i="7"/>
  <c r="CD897" i="7"/>
  <c r="CD894" i="7"/>
  <c r="CD891" i="7"/>
  <c r="CD886" i="7"/>
  <c r="CD883" i="7"/>
  <c r="CD878" i="7"/>
  <c r="CD875" i="7"/>
  <c r="CD871" i="7"/>
  <c r="CD866" i="7"/>
  <c r="CD863" i="7"/>
  <c r="CD860" i="7"/>
  <c r="CD856" i="7"/>
  <c r="CD840" i="7"/>
  <c r="CD839" i="7"/>
  <c r="CD834" i="7"/>
  <c r="CD937" i="7"/>
  <c r="CD936" i="7"/>
  <c r="CD933" i="7"/>
  <c r="CD921" i="7"/>
  <c r="CD918" i="7"/>
  <c r="CD916" i="7"/>
  <c r="CD909" i="7"/>
  <c r="CD906" i="7"/>
  <c r="CD902" i="7"/>
  <c r="CD899" i="7"/>
  <c r="CD893" i="7"/>
  <c r="CD888" i="7"/>
  <c r="CD885" i="7"/>
  <c r="CD880" i="7"/>
  <c r="CD877" i="7"/>
  <c r="CD874" i="7"/>
  <c r="CD868" i="7"/>
  <c r="CD865" i="7"/>
  <c r="CD862" i="7"/>
  <c r="CD859" i="7"/>
  <c r="CD855" i="7"/>
  <c r="CD852" i="7"/>
  <c r="CD842" i="7"/>
  <c r="CD940" i="7"/>
  <c r="CD925" i="7"/>
  <c r="CD924" i="7"/>
  <c r="CD920" i="7"/>
  <c r="CD913" i="7"/>
  <c r="CD911" i="7"/>
  <c r="CD908" i="7"/>
  <c r="CD905" i="7"/>
  <c r="CD901" i="7"/>
  <c r="CD896" i="7"/>
  <c r="CD890" i="7"/>
  <c r="CD887" i="7"/>
  <c r="CD882" i="7"/>
  <c r="CD879" i="7"/>
  <c r="CD876" i="7"/>
  <c r="CD873" i="7"/>
  <c r="CD870" i="7"/>
  <c r="CD867" i="7"/>
  <c r="CD864" i="7"/>
  <c r="CD858" i="7"/>
  <c r="CD854" i="7"/>
  <c r="CD850" i="7"/>
  <c r="CD848" i="7"/>
  <c r="CD846" i="7"/>
  <c r="CD844" i="7"/>
  <c r="CD841" i="7"/>
  <c r="CD838" i="7"/>
  <c r="CD837" i="7"/>
  <c r="CD944" i="7"/>
  <c r="CD943" i="7"/>
  <c r="CD932" i="7"/>
  <c r="CD930" i="7"/>
  <c r="CD915" i="7"/>
  <c r="CD910" i="7"/>
  <c r="CD907" i="7"/>
  <c r="CD904" i="7"/>
  <c r="CD898" i="7"/>
  <c r="CD895" i="7"/>
  <c r="CD892" i="7"/>
  <c r="CD889" i="7"/>
  <c r="CD884" i="7"/>
  <c r="CD881" i="7"/>
  <c r="CD872" i="7"/>
  <c r="CD869" i="7"/>
  <c r="CD861" i="7"/>
  <c r="CD857" i="7"/>
  <c r="CD853" i="7"/>
  <c r="CD851" i="7"/>
  <c r="CD849" i="7"/>
  <c r="CD847" i="7"/>
  <c r="CD845" i="7"/>
  <c r="CD843" i="7"/>
  <c r="CD836" i="7"/>
  <c r="CD833" i="7"/>
  <c r="CD832" i="7"/>
  <c r="CD828" i="7"/>
  <c r="CD825" i="7"/>
  <c r="CD817" i="7"/>
  <c r="CD814" i="7"/>
  <c r="CD810" i="7"/>
  <c r="CD807" i="7"/>
  <c r="CD800" i="7"/>
  <c r="CD795" i="7"/>
  <c r="CD791" i="7"/>
  <c r="CD782" i="7"/>
  <c r="CD778" i="7"/>
  <c r="CD774" i="7"/>
  <c r="CD730" i="7"/>
  <c r="CD727" i="7"/>
  <c r="CD723" i="7"/>
  <c r="CD719" i="7"/>
  <c r="CD715" i="7"/>
  <c r="CD835" i="7"/>
  <c r="CD831" i="7"/>
  <c r="CD827" i="7"/>
  <c r="CD822" i="7"/>
  <c r="CD819" i="7"/>
  <c r="CD816" i="7"/>
  <c r="CD813" i="7"/>
  <c r="CD799" i="7"/>
  <c r="CD798" i="7"/>
  <c r="CD794" i="7"/>
  <c r="CD790" i="7"/>
  <c r="CD788" i="7"/>
  <c r="CD783" i="7"/>
  <c r="CD779" i="7"/>
  <c r="CD775" i="7"/>
  <c r="CD769" i="7"/>
  <c r="CD768" i="7"/>
  <c r="CD763" i="7"/>
  <c r="CD762" i="7"/>
  <c r="CD761" i="7"/>
  <c r="CD760" i="7"/>
  <c r="CD759" i="7"/>
  <c r="CD758" i="7"/>
  <c r="CD757" i="7"/>
  <c r="CD756" i="7"/>
  <c r="CD755" i="7"/>
  <c r="CD830" i="7"/>
  <c r="CD824" i="7"/>
  <c r="CD821" i="7"/>
  <c r="CD818" i="7"/>
  <c r="CD815" i="7"/>
  <c r="CD812" i="7"/>
  <c r="CD809" i="7"/>
  <c r="CD806" i="7"/>
  <c r="CD805" i="7"/>
  <c r="CD804" i="7"/>
  <c r="CD803" i="7"/>
  <c r="CD802" i="7"/>
  <c r="CD797" i="7"/>
  <c r="CD793" i="7"/>
  <c r="CD789" i="7"/>
  <c r="CD787" i="7"/>
  <c r="CD784" i="7"/>
  <c r="CD780" i="7"/>
  <c r="CD776" i="7"/>
  <c r="CD767" i="7"/>
  <c r="CD766" i="7"/>
  <c r="CD765" i="7"/>
  <c r="CD732" i="7"/>
  <c r="CD729" i="7"/>
  <c r="CD725" i="7"/>
  <c r="CD721" i="7"/>
  <c r="CD829" i="7"/>
  <c r="CD826" i="7"/>
  <c r="CD823" i="7"/>
  <c r="CD820" i="7"/>
  <c r="CD811" i="7"/>
  <c r="CD808" i="7"/>
  <c r="CD801" i="7"/>
  <c r="CD796" i="7"/>
  <c r="CD792" i="7"/>
  <c r="CD786" i="7"/>
  <c r="CD785" i="7"/>
  <c r="CD781" i="7"/>
  <c r="CD777" i="7"/>
  <c r="CD773" i="7"/>
  <c r="CD772" i="7"/>
  <c r="CD771" i="7"/>
  <c r="CD770" i="7"/>
  <c r="CD764" i="7"/>
  <c r="CD731" i="7"/>
  <c r="CD728" i="7"/>
  <c r="CD724" i="7"/>
  <c r="CD720" i="7"/>
  <c r="CD716" i="7"/>
  <c r="CD752" i="7"/>
  <c r="CD748" i="7"/>
  <c r="CD744" i="7"/>
  <c r="CD740" i="7"/>
  <c r="CD736" i="7"/>
  <c r="CD714" i="7"/>
  <c r="CD710" i="7"/>
  <c r="CD705" i="7"/>
  <c r="CD703" i="7"/>
  <c r="CD702" i="7"/>
  <c r="CD701" i="7"/>
  <c r="CD700" i="7"/>
  <c r="CD696" i="7"/>
  <c r="CD693" i="7"/>
  <c r="CD689" i="7"/>
  <c r="CD685" i="7"/>
  <c r="CD681" i="7"/>
  <c r="CD677" i="7"/>
  <c r="CD673" i="7"/>
  <c r="CD669" i="7"/>
  <c r="CD665" i="7"/>
  <c r="CD661" i="7"/>
  <c r="CD657" i="7"/>
  <c r="CD653" i="7"/>
  <c r="CD649" i="7"/>
  <c r="CD645" i="7"/>
  <c r="CD641" i="7"/>
  <c r="CD637" i="7"/>
  <c r="CD633" i="7"/>
  <c r="CD629" i="7"/>
  <c r="CD625" i="7"/>
  <c r="CD621" i="7"/>
  <c r="CD613" i="7"/>
  <c r="CD609" i="7"/>
  <c r="CD605" i="7"/>
  <c r="CD593" i="7"/>
  <c r="CD592" i="7"/>
  <c r="CD591" i="7"/>
  <c r="CD590" i="7"/>
  <c r="CD589" i="7"/>
  <c r="CD588" i="7"/>
  <c r="CD587" i="7"/>
  <c r="CD559" i="7"/>
  <c r="CD558" i="7"/>
  <c r="CD557" i="7"/>
  <c r="CD550" i="7"/>
  <c r="CD548" i="7"/>
  <c r="CD547" i="7"/>
  <c r="CD545" i="7"/>
  <c r="CD544" i="7"/>
  <c r="CD541" i="7"/>
  <c r="CD538" i="7"/>
  <c r="CD523" i="7"/>
  <c r="CD522" i="7"/>
  <c r="CD519" i="7"/>
  <c r="CD506" i="7"/>
  <c r="CD501" i="7"/>
  <c r="CD461" i="7"/>
  <c r="CD459" i="7"/>
  <c r="CD455" i="7"/>
  <c r="CD448" i="7"/>
  <c r="CD428" i="7"/>
  <c r="CD415" i="7"/>
  <c r="CD753" i="7"/>
  <c r="CD749" i="7"/>
  <c r="CD745" i="7"/>
  <c r="CD741" i="7"/>
  <c r="CD737" i="7"/>
  <c r="CD733" i="7"/>
  <c r="CD722" i="7"/>
  <c r="CD718" i="7"/>
  <c r="CD717" i="7"/>
  <c r="CD713" i="7"/>
  <c r="CD709" i="7"/>
  <c r="CD699" i="7"/>
  <c r="CD695" i="7"/>
  <c r="CD692" i="7"/>
  <c r="CD688" i="7"/>
  <c r="CD686" i="7"/>
  <c r="CD682" i="7"/>
  <c r="CD678" i="7"/>
  <c r="CD674" i="7"/>
  <c r="CD670" i="7"/>
  <c r="CD666" i="7"/>
  <c r="CD662" i="7"/>
  <c r="CD658" i="7"/>
  <c r="CD654" i="7"/>
  <c r="CD650" i="7"/>
  <c r="CD646" i="7"/>
  <c r="CD642" i="7"/>
  <c r="CD638" i="7"/>
  <c r="CD634" i="7"/>
  <c r="CD630" i="7"/>
  <c r="CD626" i="7"/>
  <c r="CD622" i="7"/>
  <c r="CD614" i="7"/>
  <c r="CD610" i="7"/>
  <c r="CD606" i="7"/>
  <c r="CD597" i="7"/>
  <c r="CD596" i="7"/>
  <c r="CD595" i="7"/>
  <c r="CD594" i="7"/>
  <c r="CD561" i="7"/>
  <c r="CD560" i="7"/>
  <c r="CD552" i="7"/>
  <c r="CD546" i="7"/>
  <c r="CD540" i="7"/>
  <c r="CD537" i="7"/>
  <c r="CD536" i="7"/>
  <c r="CD535" i="7"/>
  <c r="CD534" i="7"/>
  <c r="CD533" i="7"/>
  <c r="CD526" i="7"/>
  <c r="CD524" i="7"/>
  <c r="CD514" i="7"/>
  <c r="CD496" i="7"/>
  <c r="CD490" i="7"/>
  <c r="CD487" i="7"/>
  <c r="CD484" i="7"/>
  <c r="CD474" i="7"/>
  <c r="CD466" i="7"/>
  <c r="CD457" i="7"/>
  <c r="CD447" i="7"/>
  <c r="CD442" i="7"/>
  <c r="CD435" i="7"/>
  <c r="CD434" i="7"/>
  <c r="CD423" i="7"/>
  <c r="CD421" i="7"/>
  <c r="CD408" i="7"/>
  <c r="CD407" i="7"/>
  <c r="CD405" i="7"/>
  <c r="CD403" i="7"/>
  <c r="CD402" i="7"/>
  <c r="CD394" i="7"/>
  <c r="CD390" i="7"/>
  <c r="CD754" i="7"/>
  <c r="CD750" i="7"/>
  <c r="CD746" i="7"/>
  <c r="CD742" i="7"/>
  <c r="CD738" i="7"/>
  <c r="CD734" i="7"/>
  <c r="CD726" i="7"/>
  <c r="CD712" i="7"/>
  <c r="CD708" i="7"/>
  <c r="CD698" i="7"/>
  <c r="CD691" i="7"/>
  <c r="CD687" i="7"/>
  <c r="CD683" i="7"/>
  <c r="CD679" i="7"/>
  <c r="CD675" i="7"/>
  <c r="CD671" i="7"/>
  <c r="CD667" i="7"/>
  <c r="CD663" i="7"/>
  <c r="CD659" i="7"/>
  <c r="CD655" i="7"/>
  <c r="CD651" i="7"/>
  <c r="CD647" i="7"/>
  <c r="CD643" i="7"/>
  <c r="CD639" i="7"/>
  <c r="CD635" i="7"/>
  <c r="CD631" i="7"/>
  <c r="CD627" i="7"/>
  <c r="CD623" i="7"/>
  <c r="CD619" i="7"/>
  <c r="CD615" i="7"/>
  <c r="CD611" i="7"/>
  <c r="CD607" i="7"/>
  <c r="CD603" i="7"/>
  <c r="CD602" i="7"/>
  <c r="CD601" i="7"/>
  <c r="CD600" i="7"/>
  <c r="CD599" i="7"/>
  <c r="CD598" i="7"/>
  <c r="CD574" i="7"/>
  <c r="CD573" i="7"/>
  <c r="CD572" i="7"/>
  <c r="CD571" i="7"/>
  <c r="CD570" i="7"/>
  <c r="CD569" i="7"/>
  <c r="CD568" i="7"/>
  <c r="CD567" i="7"/>
  <c r="CD566" i="7"/>
  <c r="CD565" i="7"/>
  <c r="CD564" i="7"/>
  <c r="CD563" i="7"/>
  <c r="CD562" i="7"/>
  <c r="CD543" i="7"/>
  <c r="CD531" i="7"/>
  <c r="CD528" i="7"/>
  <c r="CD516" i="7"/>
  <c r="CD512" i="7"/>
  <c r="CD511" i="7"/>
  <c r="CD509" i="7"/>
  <c r="CD499" i="7"/>
  <c r="CD495" i="7"/>
  <c r="CD489" i="7"/>
  <c r="CD481" i="7"/>
  <c r="CD480" i="7"/>
  <c r="CD479" i="7"/>
  <c r="CD475" i="7"/>
  <c r="CD472" i="7"/>
  <c r="CD470" i="7"/>
  <c r="CD468" i="7"/>
  <c r="CD463" i="7"/>
  <c r="CD446" i="7"/>
  <c r="CD751" i="7"/>
  <c r="CD747" i="7"/>
  <c r="CD743" i="7"/>
  <c r="CD739" i="7"/>
  <c r="CD735" i="7"/>
  <c r="CD711" i="7"/>
  <c r="CD707" i="7"/>
  <c r="CD706" i="7"/>
  <c r="CD704" i="7"/>
  <c r="CD697" i="7"/>
  <c r="CD694" i="7"/>
  <c r="CD690" i="7"/>
  <c r="CD684" i="7"/>
  <c r="CD680" i="7"/>
  <c r="CD676" i="7"/>
  <c r="CD672" i="7"/>
  <c r="CD668" i="7"/>
  <c r="CD664" i="7"/>
  <c r="CD660" i="7"/>
  <c r="CD656" i="7"/>
  <c r="CD652" i="7"/>
  <c r="CD648" i="7"/>
  <c r="CD644" i="7"/>
  <c r="CD640" i="7"/>
  <c r="CD636" i="7"/>
  <c r="CD632" i="7"/>
  <c r="CD628" i="7"/>
  <c r="CD624" i="7"/>
  <c r="CD616" i="7"/>
  <c r="CD612" i="7"/>
  <c r="CD608" i="7"/>
  <c r="CD604" i="7"/>
  <c r="CD586" i="7"/>
  <c r="CD585" i="7"/>
  <c r="CD584" i="7"/>
  <c r="CD583" i="7"/>
  <c r="CD582" i="7"/>
  <c r="CD581" i="7"/>
  <c r="CD580" i="7"/>
  <c r="CD579" i="7"/>
  <c r="CD578" i="7"/>
  <c r="CD577" i="7"/>
  <c r="CD576" i="7"/>
  <c r="CD575" i="7"/>
  <c r="CD556" i="7"/>
  <c r="CD555" i="7"/>
  <c r="CD554" i="7"/>
  <c r="CD553" i="7"/>
  <c r="CD549" i="7"/>
  <c r="CD539" i="7"/>
  <c r="CD529" i="7"/>
  <c r="CD517" i="7"/>
  <c r="CD515" i="7"/>
  <c r="CD513" i="7"/>
  <c r="CD510" i="7"/>
  <c r="CD508" i="7"/>
  <c r="CD504" i="7"/>
  <c r="CD503" i="7"/>
  <c r="CD502" i="7"/>
  <c r="CD500" i="7"/>
  <c r="CD498" i="7"/>
  <c r="CD494" i="7"/>
  <c r="CD477" i="7"/>
  <c r="CD469" i="7"/>
  <c r="CD467" i="7"/>
  <c r="CD465" i="7"/>
  <c r="CD452" i="7"/>
  <c r="CD449" i="7"/>
  <c r="CD445" i="7"/>
  <c r="CD440" i="7"/>
  <c r="CD431" i="7"/>
  <c r="CD425" i="7"/>
  <c r="CD422" i="7"/>
  <c r="CD414" i="7"/>
  <c r="CD411" i="7"/>
  <c r="CD404" i="7"/>
  <c r="CD401" i="7"/>
  <c r="CD399" i="7"/>
  <c r="CD398" i="7"/>
  <c r="CD397" i="7"/>
  <c r="CD383" i="7"/>
  <c r="CD370" i="7"/>
  <c r="CD366" i="7"/>
  <c r="CD357" i="7"/>
  <c r="CD356" i="7"/>
  <c r="CD355" i="7"/>
  <c r="CD350" i="7"/>
  <c r="CD349" i="7"/>
  <c r="CD348" i="7"/>
  <c r="CD344" i="7"/>
  <c r="CD326" i="7"/>
  <c r="CD323" i="7"/>
  <c r="CD313" i="7"/>
  <c r="CD310" i="7"/>
  <c r="CD297" i="7"/>
  <c r="CD295" i="7"/>
  <c r="CD294" i="7"/>
  <c r="CD293" i="7"/>
  <c r="CD292" i="7"/>
  <c r="CD291" i="7"/>
  <c r="CD286" i="7"/>
  <c r="CD279" i="7"/>
  <c r="CD274" i="7"/>
  <c r="CD269" i="7"/>
  <c r="CD267" i="7"/>
  <c r="CD265" i="7"/>
  <c r="CD256" i="7"/>
  <c r="CD254" i="7"/>
  <c r="CD252" i="7"/>
  <c r="CD248" i="7"/>
  <c r="CD245" i="7"/>
  <c r="CD241" i="7"/>
  <c r="CD240" i="7"/>
  <c r="CD228" i="7"/>
  <c r="CD224" i="7"/>
  <c r="CD220" i="7"/>
  <c r="CD218" i="7"/>
  <c r="CD215" i="7"/>
  <c r="CD213" i="7"/>
  <c r="CD212" i="7"/>
  <c r="CD210" i="7"/>
  <c r="CD209" i="7"/>
  <c r="CD205" i="7"/>
  <c r="CD198" i="7"/>
  <c r="CD182" i="7"/>
  <c r="CD181" i="7"/>
  <c r="CD180" i="7"/>
  <c r="CD179" i="7"/>
  <c r="CD178" i="7"/>
  <c r="CD169" i="7"/>
  <c r="CD165" i="7"/>
  <c r="CD159" i="7"/>
  <c r="CD155" i="7"/>
  <c r="CD126" i="7"/>
  <c r="CD122" i="7"/>
  <c r="CD118" i="7"/>
  <c r="CD114" i="7"/>
  <c r="CD102" i="7"/>
  <c r="CD98" i="7"/>
  <c r="CD94" i="7"/>
  <c r="CD432" i="7"/>
  <c r="CD427" i="7"/>
  <c r="CD426" i="7"/>
  <c r="CD392" i="7"/>
  <c r="CD389" i="7"/>
  <c r="CD387" i="7"/>
  <c r="CD385" i="7"/>
  <c r="CD365" i="7"/>
  <c r="CD358" i="7"/>
  <c r="CD354" i="7"/>
  <c r="CD351" i="7"/>
  <c r="CD347" i="7"/>
  <c r="CD343" i="7"/>
  <c r="CD342" i="7"/>
  <c r="CD325" i="7"/>
  <c r="CD322" i="7"/>
  <c r="CD318" i="7"/>
  <c r="CD317" i="7"/>
  <c r="CD316" i="7"/>
  <c r="CD312" i="7"/>
  <c r="CD305" i="7"/>
  <c r="CD303" i="7"/>
  <c r="CD301" i="7"/>
  <c r="CD300" i="7"/>
  <c r="CD299" i="7"/>
  <c r="CD290" i="7"/>
  <c r="CD287" i="7"/>
  <c r="CD285" i="7"/>
  <c r="CD281" i="7"/>
  <c r="CD277" i="7"/>
  <c r="CD273" i="7"/>
  <c r="CD234" i="7"/>
  <c r="CD229" i="7"/>
  <c r="CD225" i="7"/>
  <c r="CD221" i="7"/>
  <c r="CD219" i="7"/>
  <c r="CD217" i="7"/>
  <c r="CD216" i="7"/>
  <c r="CD204" i="7"/>
  <c r="CD197" i="7"/>
  <c r="CD195" i="7"/>
  <c r="CD183" i="7"/>
  <c r="CD168" i="7"/>
  <c r="CD164" i="7"/>
  <c r="CD153" i="7"/>
  <c r="CD125" i="7"/>
  <c r="CD119" i="7"/>
  <c r="CD115" i="7"/>
  <c r="CD103" i="7"/>
  <c r="CD99" i="7"/>
  <c r="CD87" i="7"/>
  <c r="CD75" i="7"/>
  <c r="CD436" i="7"/>
  <c r="CD430" i="7"/>
  <c r="CD429" i="7"/>
  <c r="CD424" i="7"/>
  <c r="CD413" i="7"/>
  <c r="CD412" i="7"/>
  <c r="CD395" i="7"/>
  <c r="CD391" i="7"/>
  <c r="CD386" i="7"/>
  <c r="CD380" i="7"/>
  <c r="CD372" i="7"/>
  <c r="CD371" i="7"/>
  <c r="CD367" i="7"/>
  <c r="CD362" i="7"/>
  <c r="CD359" i="7"/>
  <c r="CD340" i="7"/>
  <c r="CD327" i="7"/>
  <c r="CD306" i="7"/>
  <c r="CD302" i="7"/>
  <c r="CD282" i="7"/>
  <c r="CD275" i="7"/>
  <c r="CD259" i="7"/>
  <c r="CD238" i="7"/>
  <c r="CD237" i="7"/>
  <c r="CD232" i="7"/>
  <c r="CD227" i="7"/>
  <c r="CD223" i="7"/>
  <c r="CD203" i="7"/>
  <c r="CD202" i="7"/>
  <c r="CD201" i="7"/>
  <c r="CD200" i="7"/>
  <c r="CD199" i="7"/>
  <c r="CD194" i="7"/>
  <c r="CD193" i="7"/>
  <c r="CD191" i="7"/>
  <c r="CD190" i="7"/>
  <c r="CD189" i="7"/>
  <c r="CD188" i="7"/>
  <c r="CD187" i="7"/>
  <c r="CD186" i="7"/>
  <c r="CD185" i="7"/>
  <c r="CD177" i="7"/>
  <c r="CD176" i="7"/>
  <c r="CD175" i="7"/>
  <c r="CD161" i="7"/>
  <c r="CD160" i="7"/>
  <c r="CD154" i="7"/>
  <c r="CD149" i="7"/>
  <c r="CD148" i="7"/>
  <c r="CD147" i="7"/>
  <c r="CD146" i="7"/>
  <c r="CD121" i="7"/>
  <c r="CD117" i="7"/>
  <c r="CD105" i="7"/>
  <c r="CD101" i="7"/>
  <c r="CD97" i="7"/>
  <c r="CD93" i="7"/>
  <c r="CD85" i="7"/>
  <c r="CD81" i="7"/>
  <c r="CD73" i="7"/>
  <c r="CD52" i="7"/>
  <c r="CD51" i="7"/>
  <c r="CD50" i="7"/>
  <c r="CD49" i="7"/>
  <c r="CD48" i="7"/>
  <c r="CD47" i="7"/>
  <c r="CD46" i="7"/>
  <c r="CD45" i="7"/>
  <c r="CD44" i="7"/>
  <c r="CD43" i="7"/>
  <c r="CD311" i="7"/>
  <c r="CD276" i="7"/>
  <c r="CD236" i="7"/>
  <c r="CD235" i="7"/>
  <c r="CD230" i="7"/>
  <c r="CD163" i="7"/>
  <c r="CD145" i="7"/>
  <c r="CD144" i="7"/>
  <c r="CD143" i="7"/>
  <c r="CD142" i="7"/>
  <c r="CD141" i="7"/>
  <c r="CD140" i="7"/>
  <c r="CD139" i="7"/>
  <c r="CD138" i="7"/>
  <c r="CD137" i="7"/>
  <c r="CD136" i="7"/>
  <c r="CD135" i="7"/>
  <c r="CD104" i="7"/>
  <c r="CD92" i="7"/>
  <c r="CD82" i="7"/>
  <c r="CD65" i="7"/>
  <c r="CD37" i="7"/>
  <c r="CD34" i="7"/>
  <c r="CD33" i="7"/>
  <c r="CD31" i="7"/>
  <c r="CD30" i="7"/>
  <c r="CD29" i="7"/>
  <c r="CD27" i="7"/>
  <c r="CD26" i="7"/>
  <c r="CD25" i="7"/>
  <c r="CD24" i="7"/>
  <c r="CD23" i="7"/>
  <c r="CD22" i="7"/>
  <c r="CD41" i="7"/>
  <c r="CD39" i="7"/>
  <c r="CD120" i="7"/>
  <c r="CD74" i="7"/>
  <c r="CD55" i="7"/>
  <c r="CD433" i="7"/>
  <c r="CD157" i="7"/>
  <c r="CD56" i="7"/>
  <c r="CD376" i="7"/>
  <c r="CD341" i="7"/>
  <c r="CD304" i="7"/>
  <c r="CD298" i="7"/>
  <c r="CD296" i="7"/>
  <c r="CD264" i="7"/>
  <c r="CD263" i="7"/>
  <c r="CD262" i="7"/>
  <c r="CD239" i="7"/>
  <c r="CD226" i="7"/>
  <c r="CD196" i="7"/>
  <c r="CD184" i="7"/>
  <c r="CD112" i="7"/>
  <c r="CD80" i="7"/>
  <c r="CD76" i="7"/>
  <c r="CD70" i="7"/>
  <c r="CD54" i="7"/>
  <c r="CD42" i="7"/>
  <c r="CD40" i="7"/>
  <c r="CD38" i="7"/>
  <c r="CD67" i="7"/>
  <c r="CD406" i="7"/>
  <c r="CD363" i="7"/>
  <c r="CD339" i="7"/>
  <c r="CD333" i="7"/>
  <c r="CD332" i="7"/>
  <c r="CD331" i="7"/>
  <c r="CD330" i="7"/>
  <c r="CD329" i="7"/>
  <c r="CD328" i="7"/>
  <c r="CD324" i="7"/>
  <c r="CD266" i="7"/>
  <c r="CD233" i="7"/>
  <c r="CD222" i="7"/>
  <c r="CD207" i="7"/>
  <c r="CD174" i="7"/>
  <c r="CD172" i="7"/>
  <c r="CD171" i="7"/>
  <c r="CD152" i="7"/>
  <c r="CD96" i="7"/>
  <c r="CD59" i="7"/>
  <c r="CD382" i="7"/>
  <c r="CD364" i="7"/>
  <c r="CD360" i="7"/>
  <c r="CD280" i="7"/>
  <c r="CD246" i="7"/>
  <c r="CD116" i="7"/>
  <c r="AT1216" i="7"/>
  <c r="AT1215" i="7"/>
  <c r="AT1214" i="7"/>
  <c r="AT1213" i="7"/>
  <c r="AT1208" i="7"/>
  <c r="AT1199" i="7"/>
  <c r="AT1198" i="7"/>
  <c r="AT1190" i="7"/>
  <c r="AT1189" i="7"/>
  <c r="AT1187" i="7"/>
  <c r="AT1186" i="7"/>
  <c r="AT1185" i="7"/>
  <c r="AT1184" i="7"/>
  <c r="AT1175" i="7"/>
  <c r="AT1174" i="7"/>
  <c r="AT1172" i="7"/>
  <c r="AT1163" i="7"/>
  <c r="AT1162" i="7"/>
  <c r="AT1153" i="7"/>
  <c r="AT1152" i="7"/>
  <c r="AT1145" i="7"/>
  <c r="AT1144" i="7"/>
  <c r="AT1143" i="7"/>
  <c r="AT1142" i="7"/>
  <c r="AT1132" i="7"/>
  <c r="AT1131" i="7"/>
  <c r="AT1130" i="7"/>
  <c r="AT1125" i="7"/>
  <c r="AT1124" i="7"/>
  <c r="AT1120" i="7"/>
  <c r="AT1119" i="7"/>
  <c r="AT1111" i="7"/>
  <c r="AT1110" i="7"/>
  <c r="AT1102" i="7"/>
  <c r="AT1098" i="7"/>
  <c r="AT1097" i="7"/>
  <c r="AT1096" i="7"/>
  <c r="AT1095" i="7"/>
  <c r="AT1087" i="7"/>
  <c r="AT1086" i="7"/>
  <c r="AT1077" i="7"/>
  <c r="AT1073" i="7"/>
  <c r="AT1212" i="7"/>
  <c r="AT1207" i="7"/>
  <c r="AT1197" i="7"/>
  <c r="AT1196" i="7"/>
  <c r="AT1183" i="7"/>
  <c r="AT1182" i="7"/>
  <c r="AT1181" i="7"/>
  <c r="AT1171" i="7"/>
  <c r="AT1170" i="7"/>
  <c r="AT1169" i="7"/>
  <c r="AT1168" i="7"/>
  <c r="AT1161" i="7"/>
  <c r="AT1160" i="7"/>
  <c r="AT1159" i="7"/>
  <c r="AT1158" i="7"/>
  <c r="AT1151" i="7"/>
  <c r="AT1150" i="7"/>
  <c r="AT1141" i="7"/>
  <c r="AT1140" i="7"/>
  <c r="AT1128" i="7"/>
  <c r="AT1118" i="7"/>
  <c r="AT1117" i="7"/>
  <c r="AT1109" i="7"/>
  <c r="AT1108" i="7"/>
  <c r="AT1094" i="7"/>
  <c r="AT1093" i="7"/>
  <c r="AT1085" i="7"/>
  <c r="AT1084" i="7"/>
  <c r="AT1064" i="7"/>
  <c r="AT1211" i="7"/>
  <c r="AT1206" i="7"/>
  <c r="AT1205" i="7"/>
  <c r="AT1204" i="7"/>
  <c r="AT1203" i="7"/>
  <c r="AT1195" i="7"/>
  <c r="AT1194" i="7"/>
  <c r="AT1193" i="7"/>
  <c r="AT1209" i="7"/>
  <c r="AT1202" i="7"/>
  <c r="AT1191" i="7"/>
  <c r="AT1176" i="7"/>
  <c r="AT1167" i="7"/>
  <c r="AT1157" i="7"/>
  <c r="AT1146" i="7"/>
  <c r="AT1137" i="7"/>
  <c r="AT1136" i="7"/>
  <c r="AT1135" i="7"/>
  <c r="AT1134" i="7"/>
  <c r="AT1133" i="7"/>
  <c r="AT1121" i="7"/>
  <c r="AT1116" i="7"/>
  <c r="AT1106" i="7"/>
  <c r="AT1105" i="7"/>
  <c r="AT1104" i="7"/>
  <c r="AT1103" i="7"/>
  <c r="AT1088" i="7"/>
  <c r="AT1083" i="7"/>
  <c r="AT1078" i="7"/>
  <c r="AT1035" i="7"/>
  <c r="AT1034" i="7"/>
  <c r="AT1033" i="7"/>
  <c r="AT1032" i="7"/>
  <c r="AT1031" i="7"/>
  <c r="AT1030" i="7"/>
  <c r="AT1029" i="7"/>
  <c r="AT1028" i="7"/>
  <c r="AT1027" i="7"/>
  <c r="AT1016" i="7"/>
  <c r="AT1015" i="7"/>
  <c r="AT1014" i="7"/>
  <c r="AT1013" i="7"/>
  <c r="AT1012" i="7"/>
  <c r="AT1011" i="7"/>
  <c r="AT1010" i="7"/>
  <c r="AT1009" i="7"/>
  <c r="AT1008" i="7"/>
  <c r="AT1004" i="7"/>
  <c r="AT992" i="7"/>
  <c r="AT988" i="7"/>
  <c r="AT984" i="7"/>
  <c r="AT980" i="7"/>
  <c r="AT974" i="7"/>
  <c r="AT970" i="7"/>
  <c r="AT966" i="7"/>
  <c r="AT963" i="7"/>
  <c r="AT959" i="7"/>
  <c r="AT953" i="7"/>
  <c r="AT949" i="7"/>
  <c r="AT943" i="7"/>
  <c r="AT940" i="7"/>
  <c r="AT937" i="7"/>
  <c r="AT932" i="7"/>
  <c r="AT929" i="7"/>
  <c r="AT1210" i="7"/>
  <c r="AT1178" i="7"/>
  <c r="AT1177" i="7"/>
  <c r="AT1148" i="7"/>
  <c r="AT1147" i="7"/>
  <c r="AT1138" i="7"/>
  <c r="AT1127" i="7"/>
  <c r="AT1126" i="7"/>
  <c r="AT1123" i="7"/>
  <c r="AT1122" i="7"/>
  <c r="AT1112" i="7"/>
  <c r="AT1107" i="7"/>
  <c r="AT1099" i="7"/>
  <c r="AT1089" i="7"/>
  <c r="AT1079" i="7"/>
  <c r="AT1074" i="7"/>
  <c r="AT1072" i="7"/>
  <c r="AT1071" i="7"/>
  <c r="AT1070" i="7"/>
  <c r="AT1069" i="7"/>
  <c r="AT1068" i="7"/>
  <c r="AT1067" i="7"/>
  <c r="AT1066" i="7"/>
  <c r="AT1065" i="7"/>
  <c r="AT1063" i="7"/>
  <c r="AT1062" i="7"/>
  <c r="AT1059" i="7"/>
  <c r="AT1044" i="7"/>
  <c r="AT1200" i="7"/>
  <c r="AT1188" i="7"/>
  <c r="AT1179" i="7"/>
  <c r="AT1164" i="7"/>
  <c r="AT1154" i="7"/>
  <c r="AT1149" i="7"/>
  <c r="AT1139" i="7"/>
  <c r="AT1114" i="7"/>
  <c r="AT1113" i="7"/>
  <c r="AT1091" i="7"/>
  <c r="AT1090" i="7"/>
  <c r="AT1081" i="7"/>
  <c r="AT1080" i="7"/>
  <c r="AT1075" i="7"/>
  <c r="AT1058" i="7"/>
  <c r="AT1053" i="7"/>
  <c r="AT1052" i="7"/>
  <c r="AT1051" i="7"/>
  <c r="AT1050" i="7"/>
  <c r="AT1048" i="7"/>
  <c r="AT1047" i="7"/>
  <c r="AT1046" i="7"/>
  <c r="AT1045" i="7"/>
  <c r="AT1018" i="7"/>
  <c r="AT1006" i="7"/>
  <c r="AT1002" i="7"/>
  <c r="AT999" i="7"/>
  <c r="AT994" i="7"/>
  <c r="AT990" i="7"/>
  <c r="AT986" i="7"/>
  <c r="AT982" i="7"/>
  <c r="AT978" i="7"/>
  <c r="AT972" i="7"/>
  <c r="AT968" i="7"/>
  <c r="AT961" i="7"/>
  <c r="AT955" i="7"/>
  <c r="AT951" i="7"/>
  <c r="AT947" i="7"/>
  <c r="AT944" i="7"/>
  <c r="AT936" i="7"/>
  <c r="AT1201" i="7"/>
  <c r="AT1165" i="7"/>
  <c r="AT1057" i="7"/>
  <c r="AT1056" i="7"/>
  <c r="AT1054" i="7"/>
  <c r="AT1026" i="7"/>
  <c r="AT1025" i="7"/>
  <c r="AT1024" i="7"/>
  <c r="AT1023" i="7"/>
  <c r="AT1022" i="7"/>
  <c r="AT1005" i="7"/>
  <c r="AT993" i="7"/>
  <c r="AT985" i="7"/>
  <c r="AT977" i="7"/>
  <c r="AT967" i="7"/>
  <c r="AT962" i="7"/>
  <c r="AT957" i="7"/>
  <c r="AT952" i="7"/>
  <c r="AT946" i="7"/>
  <c r="AT935" i="7"/>
  <c r="AT930" i="7"/>
  <c r="AT923" i="7"/>
  <c r="AT915" i="7"/>
  <c r="AT910" i="7"/>
  <c r="AT907" i="7"/>
  <c r="AT904" i="7"/>
  <c r="AT898" i="7"/>
  <c r="AT895" i="7"/>
  <c r="AT892" i="7"/>
  <c r="AT889" i="7"/>
  <c r="AT884" i="7"/>
  <c r="AT881" i="7"/>
  <c r="AT872" i="7"/>
  <c r="AT869" i="7"/>
  <c r="AT861" i="7"/>
  <c r="AT853" i="7"/>
  <c r="AT843" i="7"/>
  <c r="AT833" i="7"/>
  <c r="AT1180" i="7"/>
  <c r="AT1166" i="7"/>
  <c r="AT1043" i="7"/>
  <c r="AT1042" i="7"/>
  <c r="AT1041" i="7"/>
  <c r="AT1040" i="7"/>
  <c r="AT1039" i="7"/>
  <c r="AT1038" i="7"/>
  <c r="AT1037" i="7"/>
  <c r="AT1003" i="7"/>
  <c r="AT991" i="7"/>
  <c r="AT983" i="7"/>
  <c r="AT973" i="7"/>
  <c r="AT965" i="7"/>
  <c r="AT960" i="7"/>
  <c r="AT950" i="7"/>
  <c r="AT939" i="7"/>
  <c r="AT938" i="7"/>
  <c r="AT934" i="7"/>
  <c r="AT928" i="7"/>
  <c r="AT927" i="7"/>
  <c r="AT919" i="7"/>
  <c r="AT917" i="7"/>
  <c r="AT914" i="7"/>
  <c r="AT912" i="7"/>
  <c r="AT903" i="7"/>
  <c r="AT900" i="7"/>
  <c r="AT897" i="7"/>
  <c r="AT894" i="7"/>
  <c r="AT891" i="7"/>
  <c r="AT886" i="7"/>
  <c r="AT883" i="7"/>
  <c r="AT878" i="7"/>
  <c r="AT875" i="7"/>
  <c r="AT871" i="7"/>
  <c r="AT866" i="7"/>
  <c r="AT863" i="7"/>
  <c r="AT860" i="7"/>
  <c r="AT856" i="7"/>
  <c r="AT851" i="7"/>
  <c r="AT849" i="7"/>
  <c r="AT847" i="7"/>
  <c r="AT845" i="7"/>
  <c r="AT1155" i="7"/>
  <c r="AT1115" i="7"/>
  <c r="AT1092" i="7"/>
  <c r="AT1082" i="7"/>
  <c r="AT1007" i="7"/>
  <c r="AT1001" i="7"/>
  <c r="AT989" i="7"/>
  <c r="AT981" i="7"/>
  <c r="AT971" i="7"/>
  <c r="AT948" i="7"/>
  <c r="AT942" i="7"/>
  <c r="AT941" i="7"/>
  <c r="AT933" i="7"/>
  <c r="AT926" i="7"/>
  <c r="AT921" i="7"/>
  <c r="AT916" i="7"/>
  <c r="AT909" i="7"/>
  <c r="AT906" i="7"/>
  <c r="AT902" i="7"/>
  <c r="AT899" i="7"/>
  <c r="AT893" i="7"/>
  <c r="AT888" i="7"/>
  <c r="AT885" i="7"/>
  <c r="AT880" i="7"/>
  <c r="AT877" i="7"/>
  <c r="AT874" i="7"/>
  <c r="AT868" i="7"/>
  <c r="AT865" i="7"/>
  <c r="AT862" i="7"/>
  <c r="AT859" i="7"/>
  <c r="AT855" i="7"/>
  <c r="AT852" i="7"/>
  <c r="AT842" i="7"/>
  <c r="AT1217" i="7"/>
  <c r="AT1156" i="7"/>
  <c r="AT1101" i="7"/>
  <c r="AT1049" i="7"/>
  <c r="AT1020" i="7"/>
  <c r="AT1019" i="7"/>
  <c r="AT1017" i="7"/>
  <c r="AT995" i="7"/>
  <c r="AT987" i="7"/>
  <c r="AT979" i="7"/>
  <c r="AT969" i="7"/>
  <c r="AT954" i="7"/>
  <c r="AT945" i="7"/>
  <c r="AT931" i="7"/>
  <c r="AT925" i="7"/>
  <c r="AT924" i="7"/>
  <c r="AT920" i="7"/>
  <c r="AT918" i="7"/>
  <c r="AT913" i="7"/>
  <c r="AT911" i="7"/>
  <c r="AT908" i="7"/>
  <c r="AT905" i="7"/>
  <c r="AT901" i="7"/>
  <c r="AT890" i="7"/>
  <c r="AT887" i="7"/>
  <c r="AT882" i="7"/>
  <c r="AT879" i="7"/>
  <c r="AT876" i="7"/>
  <c r="AT873" i="7"/>
  <c r="AT870" i="7"/>
  <c r="AT867" i="7"/>
  <c r="AT864" i="7"/>
  <c r="AT858" i="7"/>
  <c r="AT854" i="7"/>
  <c r="AT850" i="7"/>
  <c r="AT848" i="7"/>
  <c r="AT846" i="7"/>
  <c r="AT844" i="7"/>
  <c r="AT839" i="7"/>
  <c r="AT829" i="7"/>
  <c r="AT826" i="7"/>
  <c r="AT823" i="7"/>
  <c r="AT820" i="7"/>
  <c r="AT811" i="7"/>
  <c r="AT808" i="7"/>
  <c r="AT801" i="7"/>
  <c r="AT796" i="7"/>
  <c r="AT792" i="7"/>
  <c r="AT789" i="7"/>
  <c r="AT786" i="7"/>
  <c r="AT772" i="7"/>
  <c r="AT771" i="7"/>
  <c r="AT770" i="7"/>
  <c r="AT764" i="7"/>
  <c r="AT731" i="7"/>
  <c r="AT728" i="7"/>
  <c r="AT724" i="7"/>
  <c r="AT720" i="7"/>
  <c r="AT716" i="7"/>
  <c r="AT836" i="7"/>
  <c r="AT832" i="7"/>
  <c r="AT825" i="7"/>
  <c r="AT817" i="7"/>
  <c r="AT814" i="7"/>
  <c r="AT810" i="7"/>
  <c r="AT807" i="7"/>
  <c r="AT800" i="7"/>
  <c r="AT791" i="7"/>
  <c r="AT785" i="7"/>
  <c r="AT841" i="7"/>
  <c r="AT831" i="7"/>
  <c r="AT827" i="7"/>
  <c r="AT822" i="7"/>
  <c r="AT819" i="7"/>
  <c r="AT816" i="7"/>
  <c r="AT813" i="7"/>
  <c r="AT799" i="7"/>
  <c r="AT798" i="7"/>
  <c r="AT794" i="7"/>
  <c r="AT790" i="7"/>
  <c r="AT788" i="7"/>
  <c r="AT769" i="7"/>
  <c r="AT768" i="7"/>
  <c r="AT733" i="7"/>
  <c r="AT726" i="7"/>
  <c r="AT722" i="7"/>
  <c r="AT834" i="7"/>
  <c r="AT830" i="7"/>
  <c r="AT824" i="7"/>
  <c r="AT821" i="7"/>
  <c r="AT818" i="7"/>
  <c r="AT815" i="7"/>
  <c r="AT812" i="7"/>
  <c r="AT809" i="7"/>
  <c r="AT797" i="7"/>
  <c r="AT787" i="7"/>
  <c r="AT767" i="7"/>
  <c r="AT766" i="7"/>
  <c r="AT765" i="7"/>
  <c r="AT732" i="7"/>
  <c r="AT729" i="7"/>
  <c r="AT725" i="7"/>
  <c r="AT721" i="7"/>
  <c r="AT717" i="7"/>
  <c r="AT715" i="7"/>
  <c r="AT711" i="7"/>
  <c r="AT706" i="7"/>
  <c r="AT697" i="7"/>
  <c r="AT694" i="7"/>
  <c r="AT690" i="7"/>
  <c r="AT687" i="7"/>
  <c r="AT586" i="7"/>
  <c r="AT585" i="7"/>
  <c r="AT584" i="7"/>
  <c r="AT583" i="7"/>
  <c r="AT582" i="7"/>
  <c r="AT581" i="7"/>
  <c r="AT580" i="7"/>
  <c r="AT579" i="7"/>
  <c r="AT578" i="7"/>
  <c r="AT577" i="7"/>
  <c r="AT576" i="7"/>
  <c r="AT556" i="7"/>
  <c r="AT555" i="7"/>
  <c r="AT554" i="7"/>
  <c r="AT553" i="7"/>
  <c r="AT551" i="7"/>
  <c r="AT542" i="7"/>
  <c r="AT531" i="7"/>
  <c r="AT527" i="7"/>
  <c r="AT502" i="7"/>
  <c r="AT494" i="7"/>
  <c r="AT488" i="7"/>
  <c r="AT486" i="7"/>
  <c r="AT477" i="7"/>
  <c r="AT475" i="7"/>
  <c r="AT467" i="7"/>
  <c r="AT465" i="7"/>
  <c r="AT462" i="7"/>
  <c r="AT449" i="7"/>
  <c r="AT445" i="7"/>
  <c r="AT439" i="7"/>
  <c r="AT436" i="7"/>
  <c r="AT429" i="7"/>
  <c r="AT424" i="7"/>
  <c r="AT422" i="7"/>
  <c r="AT412" i="7"/>
  <c r="AT714" i="7"/>
  <c r="AT710" i="7"/>
  <c r="AT700" i="7"/>
  <c r="AT696" i="7"/>
  <c r="AT693" i="7"/>
  <c r="AT689" i="7"/>
  <c r="AT593" i="7"/>
  <c r="AT592" i="7"/>
  <c r="AT591" i="7"/>
  <c r="AT590" i="7"/>
  <c r="AT589" i="7"/>
  <c r="AT588" i="7"/>
  <c r="AT559" i="7"/>
  <c r="AT558" i="7"/>
  <c r="AT547" i="7"/>
  <c r="AT544" i="7"/>
  <c r="AT541" i="7"/>
  <c r="AT532" i="7"/>
  <c r="AT529" i="7"/>
  <c r="AT525" i="7"/>
  <c r="AT519" i="7"/>
  <c r="AT517" i="7"/>
  <c r="AT513" i="7"/>
  <c r="AT510" i="7"/>
  <c r="AT508" i="7"/>
  <c r="AT501" i="7"/>
  <c r="AT500" i="7"/>
  <c r="AT485" i="7"/>
  <c r="AT471" i="7"/>
  <c r="AT469" i="7"/>
  <c r="AT461" i="7"/>
  <c r="AT459" i="7"/>
  <c r="AT443" i="7"/>
  <c r="AT438" i="7"/>
  <c r="AT428" i="7"/>
  <c r="AT415" i="7"/>
  <c r="AT730" i="7"/>
  <c r="AT723" i="7"/>
  <c r="AT719" i="7"/>
  <c r="AT718" i="7"/>
  <c r="AT713" i="7"/>
  <c r="AT709" i="7"/>
  <c r="AT705" i="7"/>
  <c r="AT699" i="7"/>
  <c r="AT695" i="7"/>
  <c r="AT692" i="7"/>
  <c r="AT688" i="7"/>
  <c r="AT597" i="7"/>
  <c r="AT596" i="7"/>
  <c r="AT595" i="7"/>
  <c r="AT561" i="7"/>
  <c r="AT552" i="7"/>
  <c r="AT550" i="7"/>
  <c r="AT540" i="7"/>
  <c r="AT533" i="7"/>
  <c r="AT530" i="7"/>
  <c r="AT514" i="7"/>
  <c r="AT506" i="7"/>
  <c r="AT487" i="7"/>
  <c r="AT476" i="7"/>
  <c r="AT466" i="7"/>
  <c r="AT457" i="7"/>
  <c r="AT447" i="7"/>
  <c r="AT442" i="7"/>
  <c r="AT727" i="7"/>
  <c r="AT712" i="7"/>
  <c r="AT708" i="7"/>
  <c r="AT698" i="7"/>
  <c r="AT691" i="7"/>
  <c r="AT603" i="7"/>
  <c r="AT602" i="7"/>
  <c r="AT601" i="7"/>
  <c r="AT600" i="7"/>
  <c r="AT599" i="7"/>
  <c r="AT574" i="7"/>
  <c r="AT573" i="7"/>
  <c r="AT572" i="7"/>
  <c r="AT571" i="7"/>
  <c r="AT570" i="7"/>
  <c r="AT569" i="7"/>
  <c r="AT568" i="7"/>
  <c r="AT567" i="7"/>
  <c r="AT566" i="7"/>
  <c r="AT565" i="7"/>
  <c r="AT564" i="7"/>
  <c r="AT563" i="7"/>
  <c r="AT546" i="7"/>
  <c r="AT543" i="7"/>
  <c r="AT526" i="7"/>
  <c r="AT524" i="7"/>
  <c r="AT518" i="7"/>
  <c r="AT511" i="7"/>
  <c r="AT509" i="7"/>
  <c r="AT507" i="7"/>
  <c r="AT489" i="7"/>
  <c r="AT478" i="7"/>
  <c r="AT470" i="7"/>
  <c r="AT468" i="7"/>
  <c r="AT460" i="7"/>
  <c r="AT437" i="7"/>
  <c r="AT430" i="7"/>
  <c r="AT423" i="7"/>
  <c r="AT405" i="7"/>
  <c r="AT395" i="7"/>
  <c r="AT390" i="7"/>
  <c r="AT388" i="7"/>
  <c r="AT386" i="7"/>
  <c r="AT384" i="7"/>
  <c r="AT371" i="7"/>
  <c r="AT367" i="7"/>
  <c r="AT362" i="7"/>
  <c r="AT359" i="7"/>
  <c r="AT352" i="7"/>
  <c r="AT327" i="7"/>
  <c r="AT306" i="7"/>
  <c r="AT304" i="7"/>
  <c r="AT302" i="7"/>
  <c r="AT289" i="7"/>
  <c r="AT282" i="7"/>
  <c r="AT275" i="7"/>
  <c r="AT238" i="7"/>
  <c r="AT232" i="7"/>
  <c r="AT230" i="7"/>
  <c r="AT206" i="7"/>
  <c r="AT203" i="7"/>
  <c r="AT202" i="7"/>
  <c r="AT201" i="7"/>
  <c r="AT200" i="7"/>
  <c r="AT199" i="7"/>
  <c r="AT196" i="7"/>
  <c r="AT170" i="7"/>
  <c r="AT166" i="7"/>
  <c r="AT160" i="7"/>
  <c r="AT156" i="7"/>
  <c r="AT131" i="7"/>
  <c r="AT127" i="7"/>
  <c r="AT123" i="7"/>
  <c r="AT446" i="7"/>
  <c r="AT421" i="7"/>
  <c r="AT417" i="7"/>
  <c r="AT416" i="7"/>
  <c r="AT411" i="7"/>
  <c r="AT404" i="7"/>
  <c r="AT398" i="7"/>
  <c r="AT397" i="7"/>
  <c r="AT393" i="7"/>
  <c r="AT383" i="7"/>
  <c r="AT380" i="7"/>
  <c r="AT370" i="7"/>
  <c r="AT366" i="7"/>
  <c r="AT364" i="7"/>
  <c r="AT355" i="7"/>
  <c r="AT353" i="7"/>
  <c r="AT348" i="7"/>
  <c r="AT344" i="7"/>
  <c r="AT340" i="7"/>
  <c r="AT326" i="7"/>
  <c r="AT323" i="7"/>
  <c r="AT310" i="7"/>
  <c r="AT309" i="7"/>
  <c r="AT297" i="7"/>
  <c r="AT291" i="7"/>
  <c r="AT288" i="7"/>
  <c r="AT274" i="7"/>
  <c r="AT267" i="7"/>
  <c r="AT265" i="7"/>
  <c r="AT245" i="7"/>
  <c r="AT244" i="7"/>
  <c r="AT240" i="7"/>
  <c r="AT237" i="7"/>
  <c r="AT231" i="7"/>
  <c r="AT208" i="7"/>
  <c r="AT205" i="7"/>
  <c r="AT198" i="7"/>
  <c r="AT169" i="7"/>
  <c r="AT165" i="7"/>
  <c r="AT159" i="7"/>
  <c r="AT134" i="7"/>
  <c r="AT130" i="7"/>
  <c r="AT126" i="7"/>
  <c r="AT70" i="7"/>
  <c r="AT69" i="7"/>
  <c r="AT68" i="7"/>
  <c r="AT67" i="7"/>
  <c r="AT66" i="7"/>
  <c r="AT65" i="7"/>
  <c r="AT64" i="7"/>
  <c r="AT63" i="7"/>
  <c r="AT62" i="7"/>
  <c r="AT61" i="7"/>
  <c r="AT60" i="7"/>
  <c r="AT59" i="7"/>
  <c r="AT58" i="7"/>
  <c r="AT57" i="7"/>
  <c r="AT56" i="7"/>
  <c r="AT55" i="7"/>
  <c r="AT406" i="7"/>
  <c r="AT396" i="7"/>
  <c r="AT381" i="7"/>
  <c r="AT368" i="7"/>
  <c r="AT363" i="7"/>
  <c r="AT358" i="7"/>
  <c r="AT354" i="7"/>
  <c r="AT351" i="7"/>
  <c r="AT347" i="7"/>
  <c r="AT341" i="7"/>
  <c r="AT328" i="7"/>
  <c r="AT324" i="7"/>
  <c r="AT322" i="7"/>
  <c r="AT311" i="7"/>
  <c r="AT307" i="7"/>
  <c r="AT298" i="7"/>
  <c r="AT296" i="7"/>
  <c r="AT287" i="7"/>
  <c r="AT280" i="7"/>
  <c r="AT276" i="7"/>
  <c r="AT266" i="7"/>
  <c r="AT246" i="7"/>
  <c r="AT242" i="7"/>
  <c r="AT239" i="7"/>
  <c r="AT233" i="7"/>
  <c r="AT207" i="7"/>
  <c r="AT171" i="7"/>
  <c r="AT167" i="7"/>
  <c r="AT163" i="7"/>
  <c r="AT162" i="7"/>
  <c r="AT157" i="7"/>
  <c r="AT135" i="7"/>
  <c r="AT132" i="7"/>
  <c r="AT128" i="7"/>
  <c r="AT124" i="7"/>
  <c r="AT312" i="7"/>
  <c r="AT303" i="7"/>
  <c r="AT273" i="7"/>
  <c r="AT164" i="7"/>
  <c r="AT129" i="7"/>
  <c r="AT122" i="7"/>
  <c r="AT52" i="7"/>
  <c r="AT48" i="7"/>
  <c r="AT44" i="7"/>
  <c r="AT45" i="7"/>
  <c r="AT36" i="7"/>
  <c r="AT35" i="7"/>
  <c r="AT34" i="7"/>
  <c r="AT33" i="7"/>
  <c r="AT32" i="7"/>
  <c r="AT31" i="7"/>
  <c r="AT30" i="7"/>
  <c r="AT28" i="7"/>
  <c r="AT26" i="7"/>
  <c r="AT24" i="7"/>
  <c r="AT22" i="7"/>
  <c r="AT41" i="7"/>
  <c r="AT387" i="7"/>
  <c r="AT385" i="7"/>
  <c r="AT247" i="7"/>
  <c r="AT204" i="7"/>
  <c r="AT158" i="7"/>
  <c r="AT427" i="7"/>
  <c r="AT342" i="7"/>
  <c r="AT305" i="7"/>
  <c r="AT299" i="7"/>
  <c r="AT197" i="7"/>
  <c r="AT133" i="7"/>
  <c r="AT125" i="7"/>
  <c r="AT53" i="7"/>
  <c r="AT49" i="7"/>
  <c r="AT29" i="7"/>
  <c r="AT27" i="7"/>
  <c r="AT25" i="7"/>
  <c r="AT23" i="7"/>
  <c r="AT155" i="7"/>
  <c r="AT50" i="7"/>
  <c r="AT42" i="7"/>
  <c r="AT39" i="7"/>
  <c r="AT47" i="7"/>
  <c r="AT407" i="7"/>
  <c r="AT389" i="7"/>
  <c r="AT325" i="7"/>
  <c r="AT243" i="7"/>
  <c r="AT46" i="7"/>
  <c r="AT40" i="7"/>
  <c r="AT392" i="7"/>
  <c r="AT369" i="7"/>
  <c r="AT365" i="7"/>
  <c r="AT308" i="7"/>
  <c r="AT290" i="7"/>
  <c r="AT281" i="7"/>
  <c r="AT168" i="7"/>
  <c r="AT51" i="7"/>
</calcChain>
</file>

<file path=xl/sharedStrings.xml><?xml version="1.0" encoding="utf-8"?>
<sst xmlns="http://schemas.openxmlformats.org/spreadsheetml/2006/main" count="12484" uniqueCount="1709">
  <si>
    <t>Гусь-Хрустальный р-н, Вашутино д, Микрорайон ул, 3</t>
  </si>
  <si>
    <t>Гусь-Хрустальный р-н, Великодворский п, Песочная ул, 20</t>
  </si>
  <si>
    <t>Гусь-Хрустальный р-н, Добрятино п, Ленина ул, 2а</t>
  </si>
  <si>
    <t>Гусь-Хрустальный р-н, Иванищи п, Фрунзе ул, 1а</t>
  </si>
  <si>
    <t>Гусь-Хрустальный р-н, Курлово г, Володарского ул, 5</t>
  </si>
  <si>
    <t>Гусь-Хрустальный р-н, Никулино д, Центральная ул, 19А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</si>
  <si>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</si>
  <si>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</si>
  <si>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</si>
  <si>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</si>
  <si>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</si>
  <si>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</si>
  <si>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</si>
  <si>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</si>
  <si>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</si>
  <si>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</si>
  <si>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</si>
  <si>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</si>
  <si>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</si>
  <si>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</si>
  <si>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</si>
  <si>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</si>
  <si>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</si>
  <si>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</si>
  <si>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</si>
  <si>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</si>
  <si>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</si>
  <si>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</si>
  <si>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</si>
  <si>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</si>
  <si>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</si>
  <si>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</si>
  <si>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</si>
  <si>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</si>
  <si>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</si>
  <si>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</si>
  <si>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</si>
  <si>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</si>
  <si>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</si>
  <si>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</si>
  <si>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Петушинский р-н, Сосновый Бор п, Центральная ул, 8</t>
  </si>
  <si>
    <t>Петушинский р-н, Вольгинский п, Новосеменковская ул, 4</t>
  </si>
  <si>
    <t>Петушинский р-н, Городищи п, К.Соловьева ул, 2</t>
  </si>
  <si>
    <t>Петушинский р-н, Костерево г, 40 лет Октября ул, 6</t>
  </si>
  <si>
    <t>Петушинский р-н, Костерево г, им Горького ул, 7</t>
  </si>
  <si>
    <t>Петушинский р-н, Костерево г, им Горького ул, 11</t>
  </si>
  <si>
    <t>Петушинский р-н, Покров г, 3 Интернационала ул, 64а</t>
  </si>
  <si>
    <t>Петушинский р-н, Покров г, Больничный проезд, 21</t>
  </si>
  <si>
    <t>Петушки г, Лесная ул, 16</t>
  </si>
  <si>
    <t>Петушки г, Советская пл, 1</t>
  </si>
  <si>
    <t>Петушки г, Спортивная ул, 6</t>
  </si>
  <si>
    <t>Петушки г, Трудовая ул, 6</t>
  </si>
  <si>
    <t>Петушинский р-н, Вольгинский п, Старовская ул, 16</t>
  </si>
  <si>
    <t>Петушинский р-н, Городищи п, Ленина ул, 3</t>
  </si>
  <si>
    <t>Петушинский р-н, Костерево г, Бормино ул, 58</t>
  </si>
  <si>
    <t>Петушинский р-н, Новое Аннино д, Центральная ул, 1</t>
  </si>
  <si>
    <t>Петушинский р-н, Покров г, Больничный проезд, 18</t>
  </si>
  <si>
    <t>Петушинский р-н, Санино д, Лесная ул, 171</t>
  </si>
  <si>
    <t>Петушки г, Лесная ул, 15</t>
  </si>
  <si>
    <t>Петушки г, Лесная ул, 18</t>
  </si>
  <si>
    <t>Петушки г, Маяковского ул, 21</t>
  </si>
  <si>
    <t>Петушки г, Профсоюзная ул, 14</t>
  </si>
  <si>
    <t>Петушки г, Профсоюзная ул, 14а</t>
  </si>
  <si>
    <t>Петушинский р-н, Вольгинский п, Старовская ул, 14</t>
  </si>
  <si>
    <t>Петушинский р-н, Городищи п, Советская ул, 45а</t>
  </si>
  <si>
    <t>Петушинский р-н, Костерево г, Писцова ул, 56</t>
  </si>
  <si>
    <t>Петушинский р-н, Нагорный п, Владимирская ул, 8</t>
  </si>
  <si>
    <t>Петушинский р-н, Покров г, 3 Интернационала ул, 49</t>
  </si>
  <si>
    <t>Петушинский р-н, Покров г, 3 Интернационала ул, 55</t>
  </si>
  <si>
    <t>Петушинский р-н, Покров г, Пролетарская ул, 5</t>
  </si>
  <si>
    <t>Петушинский р-н, Труд п, Советская ул, 3</t>
  </si>
  <si>
    <t>Петушки г, Зеленая ул, 22</t>
  </si>
  <si>
    <t>Петушки г, Лесная ул, 2а</t>
  </si>
  <si>
    <t>Петушки г, Лесная ул, 13</t>
  </si>
  <si>
    <t>Кольчугино г, 50 лет Октября ул, 10</t>
  </si>
  <si>
    <t>Кольчугино г, Дружбы ул, 4</t>
  </si>
  <si>
    <t>Кольчугино г, Ленина ул, 12</t>
  </si>
  <si>
    <t>Кольчугинский р-н, Раздолье п, Новоселов ул, 2</t>
  </si>
  <si>
    <t>Кольчугино г, 3 Интернационала ул, 81</t>
  </si>
  <si>
    <t>Кольчугино г, 50 лет Октября ул, 12</t>
  </si>
  <si>
    <t>Кольчугино г, Котовского ул, 23</t>
  </si>
  <si>
    <t>Кольчугино г, Щорса ул, 9</t>
  </si>
  <si>
    <t>Кольчугинский р-н, Бавлены п, Центральная ул, 15</t>
  </si>
  <si>
    <t>Кольчугинский р-н, Бавлены п, Центральная ул, 15А</t>
  </si>
  <si>
    <t>Кольчугинский р-н, Золотуха п, Пятнадцатая ул, 3</t>
  </si>
  <si>
    <t>Кольчугино г, Алексеева ул, 8</t>
  </si>
  <si>
    <t>Кольчугино г, КИМ ул, 6</t>
  </si>
  <si>
    <t>Кольчугино г, Чапаева ул, 3</t>
  </si>
  <si>
    <t>Кольчугинский р-н, Металлист п, Молодежная ул, 1</t>
  </si>
  <si>
    <t>Кольчугинский р-н, Раздолье п, Новоселов ул, 3</t>
  </si>
  <si>
    <t>Судогда г, Бякова ул, 30</t>
  </si>
  <si>
    <t>Судогда г, Ленина ул, 74</t>
  </si>
  <si>
    <t>Судогодский р-н, Андреево п, Первомайская ул, 9</t>
  </si>
  <si>
    <t>Судогодский р-н, Головино п, Радужная ул, 1</t>
  </si>
  <si>
    <t>Судогодский р-н, Мошок с, Заводская ул, 8</t>
  </si>
  <si>
    <t>Судогодский р-н, Муромцево п, Комсомольская ул, 9</t>
  </si>
  <si>
    <t>Судогда г, Коммунистическая ул, 3</t>
  </si>
  <si>
    <t>Судогда г, Ленина ул, 70</t>
  </si>
  <si>
    <t>Судогодский р-н, Головино п, Радужная ул, 2</t>
  </si>
  <si>
    <t>Судогодский р-н, Коняево п, 44</t>
  </si>
  <si>
    <t>Судогодский р-н, Муромцево п, Комсомольская ул, 10а</t>
  </si>
  <si>
    <t>Судогда г, Гагарина ул, 7а</t>
  </si>
  <si>
    <t>Судогда г, Коммунистическая ул, 6</t>
  </si>
  <si>
    <t>Судогодский р-н, Головино п, Радужная ул, 11</t>
  </si>
  <si>
    <t>Судогодский р-н, им Воровского п, Спортивная ул, 6</t>
  </si>
  <si>
    <t>Судогодский р-н, им Воровского п, Спортивная ул, 11</t>
  </si>
  <si>
    <t>Судогодский р-н, Ликино с, Лесная ул, 7</t>
  </si>
  <si>
    <t>Меленки г, Валентины Суздальцевой ул, 27</t>
  </si>
  <si>
    <t>Меленки г, Дзержинского ул, 42</t>
  </si>
  <si>
    <t>Меленки г, Коминтерна ул, 211</t>
  </si>
  <si>
    <t>Меленки г, Красноармейская ул, 204</t>
  </si>
  <si>
    <t>Меленковский р-н, Дмитриевы Горы с, Первомайская ул, 80</t>
  </si>
  <si>
    <t>Меленковский р-н, Дмитриевы Горы с, Первомайская ул, 82</t>
  </si>
  <si>
    <t>Меленковский р-н, Ляхи с, Климова ул, 2</t>
  </si>
  <si>
    <t>Киржач г, Гастелло ул, 7</t>
  </si>
  <si>
    <t>Киржач г, Денисенко ул, 15</t>
  </si>
  <si>
    <t>Киржач г, Красный Октябрь мкр, Южный кв-л, 3</t>
  </si>
  <si>
    <t>Киржач г, Красный Октябрь мкр, Южный кв-л, 6</t>
  </si>
  <si>
    <t>Киржач г, М.Расковой ул, 17</t>
  </si>
  <si>
    <t>Киржач г, Совхозная ул, 2</t>
  </si>
  <si>
    <t>Киржач г, Томаровича ул, 5</t>
  </si>
  <si>
    <t>Киржачский р-н, Кашино д, Кашино п. тер, 136</t>
  </si>
  <si>
    <t>Киржачский р-н, Новоселово д, Ленинская ул, 7</t>
  </si>
  <si>
    <t>Киржачский р-н, Федоровское д, Советская ул, 19</t>
  </si>
  <si>
    <t>Киржач г, Добровольского ул, 20</t>
  </si>
  <si>
    <t>Киржач г, Красный Октябрь мкр, Солнечный кв-л, 1</t>
  </si>
  <si>
    <t>Киржач г, Красный Октябрь мкр, Солнечный кв-л, 8</t>
  </si>
  <si>
    <t>Киржач г, Магистральная ул, 2</t>
  </si>
  <si>
    <t>Киржач г, Морозовская ул, 120</t>
  </si>
  <si>
    <t>Киржач г, Привокзальная ул, 9</t>
  </si>
  <si>
    <t>Киржач г, Приозерная ул, 1в</t>
  </si>
  <si>
    <t>Киржач г, Свобода ул, 113</t>
  </si>
  <si>
    <t>Киржач г, Большая Московская ул, 1а</t>
  </si>
  <si>
    <t>Киржач г, Красный Октябрь мкр, Октябрьская ул, 11</t>
  </si>
  <si>
    <t>Киржач г, Красный Октябрь мкр, Солнечный кв-л, 2</t>
  </si>
  <si>
    <t>Киржач г, Павловского ул, 36</t>
  </si>
  <si>
    <t>Киржач г, Прибрежный кв-л, 2</t>
  </si>
  <si>
    <t>Киржач г, Станционная ул, 65</t>
  </si>
  <si>
    <t>Собинка г, Гагарина ул, 9</t>
  </si>
  <si>
    <t>Собинка г, Гагарина ул, 14</t>
  </si>
  <si>
    <t>Собинка г, Мира ул, 3</t>
  </si>
  <si>
    <t>Собинский р-н, Ворша с, Молодежная ул, 15</t>
  </si>
  <si>
    <t>Собинский р-н, Лакинск г, 21 Партсъезда ул, 15</t>
  </si>
  <si>
    <t>Собинский р-н, Лакинск г, 21 Партсъезда ул, 22</t>
  </si>
  <si>
    <t>Собинский р-н, Ставрово п, Механизаторов ул, 9</t>
  </si>
  <si>
    <t>Собинский р-н, Ставрово п, Советская ул, 88</t>
  </si>
  <si>
    <t>Собинский р-н, Черкутино с, Им В.А.Солоухина ул, 2</t>
  </si>
  <si>
    <t>Собинский р-н, Лакинск г, 10 Октября ул, 2</t>
  </si>
  <si>
    <t>Собинка г, Гагарина ул, 12</t>
  </si>
  <si>
    <t>Собинка г, Родниковская ул, 22</t>
  </si>
  <si>
    <t>Собинка г, Шибаева ул, 21</t>
  </si>
  <si>
    <t>Собинский р-н, Бабаево с, Молодежная ул, 2</t>
  </si>
  <si>
    <t>Собинский р-н, Курилово д, Молодежная ул, 5</t>
  </si>
  <si>
    <t>Собинский р-н, Лакинск г, Лермонтова ул, 46</t>
  </si>
  <si>
    <t>Собинский р-н, Лакинск г, Лермонтова ул, 47</t>
  </si>
  <si>
    <t>Собинский р-н, Лакинск г, Мира ул, 95</t>
  </si>
  <si>
    <t>Собинский р-н, Ставрово п, Октябрьская ул, 126</t>
  </si>
  <si>
    <t>Собинский р-н, Толпухово д, Молодежная ул, 5</t>
  </si>
  <si>
    <t>Собинка г, Гоголя ул, 1А</t>
  </si>
  <si>
    <t>Собинка г, Гоголя ул, 1Б</t>
  </si>
  <si>
    <t>Собинка г, Мира ул, 11</t>
  </si>
  <si>
    <t>Собинка г, Шибаева ул, 18</t>
  </si>
  <si>
    <t>Собинский р-н, Заречное с, Парковая ул, 7</t>
  </si>
  <si>
    <t>Собинский р-н, Лакинск г, 21 Партсъезда ул, 4</t>
  </si>
  <si>
    <t>Собинский р-н, Лакинск г, 21 Партсъезда ул, 23</t>
  </si>
  <si>
    <t>Собинский р-н, Лакинск г, Мира ул, 101</t>
  </si>
  <si>
    <t>Собинский р-н, Ставрово п, Советская ул, 82</t>
  </si>
  <si>
    <t>Собинский р-н, Ставрово п, Юбилейная ул, 6</t>
  </si>
  <si>
    <t>Собинский р-н, Толпухово д, Молодежная ул, 4</t>
  </si>
  <si>
    <t>Собинский р-н, Толпухово д, Молодежная ул, 12</t>
  </si>
  <si>
    <t>Собинка г, Гагарина ул, 8</t>
  </si>
  <si>
    <t>Ковровский р-н, Клязьминский Городок с, Клязьминская ПМК ул, 15</t>
  </si>
  <si>
    <t>Ковровский р-н, Малыгино п, Юбилейная ул, 47</t>
  </si>
  <si>
    <t>Ковровский р-н, Мелехово пгт, Гагарина ул, 4</t>
  </si>
  <si>
    <t>Ковровский р-н, Мелехово пгт, Красная Горка ул, 2</t>
  </si>
  <si>
    <t>Ковровский р-н, Мелехово пгт, Первомайская ул, 53</t>
  </si>
  <si>
    <t>Ковровский р-н, Клязьминский Городок с, Клязьминская ПМК ул, 3</t>
  </si>
  <si>
    <t>Ковровский р-н, Ковров-35 городок, Центральная ул, 111</t>
  </si>
  <si>
    <t>Ковровский р-н, Малыгино п, Школьная ул, 55</t>
  </si>
  <si>
    <t>Ковровский р-н, Малыгино п, Юбилейная ул, 48</t>
  </si>
  <si>
    <t>Ковровский р-н, Нерехта п, Просторная ул, 2</t>
  </si>
  <si>
    <t>Ковровский р-н, Гигант п, Первомайская ул, 17</t>
  </si>
  <si>
    <t>Ковровский р-н, Глебово д, Школьная ул, 20</t>
  </si>
  <si>
    <t>Ковровский р-н, Достижение п, Кирпичная ул, 29</t>
  </si>
  <si>
    <t>Ковровский р-н, Мелехово пгт, Строительная ул, 3</t>
  </si>
  <si>
    <t>Ковровский р-н, Пакино п, Школьная ул, 29</t>
  </si>
  <si>
    <t>Ковровский р-н, подстанция Заря р-н, 1</t>
  </si>
  <si>
    <t>Ковровский р-н, Мелехово пгт, Школьный пер, 27</t>
  </si>
  <si>
    <t>Суздаль г, Ленина ул, 69</t>
  </si>
  <si>
    <t>Суздаль г, Ленина ул, 71</t>
  </si>
  <si>
    <t>Суздальский р-н, Красногвардейский п, Октябрьская ул, 5</t>
  </si>
  <si>
    <t>Суздальский р-н, Содышка п, Владимирская ул, 10</t>
  </si>
  <si>
    <t>Суздальский р-н, Сокол п, 4</t>
  </si>
  <si>
    <t>Суздаль г, Гоголя ул, 15</t>
  </si>
  <si>
    <t>Суздаль г, Ленина ул, 26</t>
  </si>
  <si>
    <t>Суздаль г, Советская ул, 4</t>
  </si>
  <si>
    <t>Суздальский р-н, Боголюбово п, Западная ул, 5</t>
  </si>
  <si>
    <t>Суздальский р-н, Цибеево с, Западная ул, 3</t>
  </si>
  <si>
    <t>Суздаль г, Гоголя ул, 11</t>
  </si>
  <si>
    <t>Суздаль г, Советская ул, 20</t>
  </si>
  <si>
    <t>Суздаль г, Советская ул, 39</t>
  </si>
  <si>
    <t>Суздальский р-н, Садовый п, Центральная ул, 4</t>
  </si>
  <si>
    <t>Муромский р-н, Фабрики им П.Л.Войкова п, 31</t>
  </si>
  <si>
    <t>Муромский р-н, Механизаторов п, 55а</t>
  </si>
  <si>
    <t>Муромский р-н, Механизаторов п, 60</t>
  </si>
  <si>
    <t>Муромский р-н, Механизаторов п, 64</t>
  </si>
  <si>
    <t>Муромский р-н, Муромский п, Садовая ул, 26</t>
  </si>
  <si>
    <t>Муромский р-н, Муромский п, Садовая ул, 27</t>
  </si>
  <si>
    <t>Муромский р-н, Муромский п, Садовая ул, 28</t>
  </si>
  <si>
    <t>Муромский р-н, Механизаторов п, 49</t>
  </si>
  <si>
    <t>Муромский р-н, Механизаторов п, 51</t>
  </si>
  <si>
    <t>Муромский р-н, Механизаторов п, 54</t>
  </si>
  <si>
    <t>Муромский р-н, Механизаторов п, 55</t>
  </si>
  <si>
    <t>Муромский р-н, Муромский п, Озёрная ул, 22</t>
  </si>
  <si>
    <t>Муромский р-н, Муромский п, Северная ул, 19</t>
  </si>
  <si>
    <t>Муромский р-н, Зимёнки п, Мира ул, 5</t>
  </si>
  <si>
    <t>Юрьев-Польский г, 1 Мая ул, 70</t>
  </si>
  <si>
    <t>Юрьев-Польский г, 1 Мая ул, 76</t>
  </si>
  <si>
    <t>Юрьев-Польский г, Артиллерийская ул, 34</t>
  </si>
  <si>
    <t>Юрьев-Польский г, Герцена ул, 4А</t>
  </si>
  <si>
    <t>Юрьев-Польский г, Луговая ул, 1</t>
  </si>
  <si>
    <t>Юрьев-Польский г, Луговая ул, 35</t>
  </si>
  <si>
    <t>Юрьев-Польский г, Свободы ул, 141</t>
  </si>
  <si>
    <t>Юрьев-Польский р-н, Горки с, Механическая ул, 2</t>
  </si>
  <si>
    <t>Юрьев-Польский р-н, Небылое с, Первомайская ул, 83</t>
  </si>
  <si>
    <t>Юрьев-Польский р-н, Небылое с, Школьная ул, 11</t>
  </si>
  <si>
    <t>Юрьев-Польский р-н, Небылое с, Школьная ул, 13</t>
  </si>
  <si>
    <t>Юрьев-Польский р-н, Пригородный с, 4</t>
  </si>
  <si>
    <t>Юрьев-Польский р-н, Сима с, Комсомольская ул, 6</t>
  </si>
  <si>
    <t>Юрьев-Польский р-н, Федоровское с, 69</t>
  </si>
  <si>
    <t>Юрьев-Польский р-н, Шихобалово с, 8</t>
  </si>
  <si>
    <t>Селивановский р-н, Красная Горбатка п, Первомайская ул, 102</t>
  </si>
  <si>
    <t>Селивановский р-н, Красная Горбатка п, Пионерская ул, 20</t>
  </si>
  <si>
    <t>Селивановский р-н, Красная Горбатка п, Свободы ул, 50</t>
  </si>
  <si>
    <t>Селивановский р-н, Красная Горбатка п, Северная ул, 77</t>
  </si>
  <si>
    <t>Селивановский р-н, Красная Ушна п, Заводская ул, 3</t>
  </si>
  <si>
    <t>Гороховец г, Гагарина ул, 37</t>
  </si>
  <si>
    <t>Гороховец г, Гагарина ул, 44</t>
  </si>
  <si>
    <t>Гороховец г, Горького ул, 50</t>
  </si>
  <si>
    <t>Гороховец г, Кирова ул, 9</t>
  </si>
  <si>
    <t>Гороховец г, Кутузова ул, 9</t>
  </si>
  <si>
    <t>Гороховец г, Ленина ул, 59</t>
  </si>
  <si>
    <t>Гороховец г, Мира ул, 4</t>
  </si>
  <si>
    <t>Гороховец г, Мира ул, 30</t>
  </si>
  <si>
    <t>Гороховец г, Строителей ул, 4</t>
  </si>
  <si>
    <t>Гороховец г, Строителей ул, 7</t>
  </si>
  <si>
    <t>Гороховецкий р-н, Васильчиково д, 23</t>
  </si>
  <si>
    <t>Гороховецкий р-н, Гришино с, Ленина ул, 56</t>
  </si>
  <si>
    <t>Гороховецкий р-н, Куприяново д, Дорожная ул, 5</t>
  </si>
  <si>
    <t>Гороховецкий р-н, Лучинки д, Лучинковская ул, 65</t>
  </si>
  <si>
    <t>Гороховецкий р-н, Пролетарский п, Октябрьская ул, 3</t>
  </si>
  <si>
    <t>Гороховецкий р-н, Торфопредприятия Большое п, Ленина ул, 7</t>
  </si>
  <si>
    <t>Гороховецкий р-н, Торфопредприятия Большое п, Ленина ул, 9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</si>
  <si>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</si>
  <si>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</si>
  <si>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</si>
  <si>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</si>
  <si>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</si>
  <si>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</si>
  <si>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</si>
  <si>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</si>
  <si>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</si>
  <si>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</si>
  <si>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</si>
  <si>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</si>
  <si>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</si>
  <si>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</si>
  <si>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за счет средств бюджета субъекта Российской Федерации</t>
  </si>
  <si>
    <t>за счет средств местного бюджета</t>
  </si>
  <si>
    <t>чел.</t>
  </si>
  <si>
    <t>руб./кв.м</t>
  </si>
  <si>
    <t>РО</t>
  </si>
  <si>
    <t>НУ</t>
  </si>
  <si>
    <t>Каменные, кирпичные</t>
  </si>
  <si>
    <t>-</t>
  </si>
  <si>
    <t>УК</t>
  </si>
  <si>
    <t>МУП "Аэлита"</t>
  </si>
  <si>
    <t>ООО "УК Покров"</t>
  </si>
  <si>
    <t>ООО "ЖКХ г. Костерево"</t>
  </si>
  <si>
    <t>МУП "Инфраструктура и сервис"</t>
  </si>
  <si>
    <t>ООО УК "Наш дом"</t>
  </si>
  <si>
    <t>МУП "РСУ г. Петушки"</t>
  </si>
  <si>
    <t>ООО "Сфера"</t>
  </si>
  <si>
    <t>ООО "ЖЭУ №3"</t>
  </si>
  <si>
    <t>ООО "УК в ЖКХ в г. Кольчугино"</t>
  </si>
  <si>
    <t>ООО " Комфорт"</t>
  </si>
  <si>
    <t>ООО"НАШ ДОМ"</t>
  </si>
  <si>
    <t>ООО "Андреевская УК"</t>
  </si>
  <si>
    <t>МКП г. Судогда "Коммунальщик"</t>
  </si>
  <si>
    <t>БУ</t>
  </si>
  <si>
    <t>ООО" Монолит"</t>
  </si>
  <si>
    <t>ООО "УК"Наш Дом"</t>
  </si>
  <si>
    <t>ФУМП ЖКХ</t>
  </si>
  <si>
    <t xml:space="preserve">Панельные </t>
  </si>
  <si>
    <t>МУП ЖКХ "УК Собинского района"</t>
  </si>
  <si>
    <t>МУМП ЖКХ п.Ставрово</t>
  </si>
  <si>
    <t>ООО "ЖилСтрой"</t>
  </si>
  <si>
    <t>ЖК</t>
  </si>
  <si>
    <t>ЖСК ул. Мира,д.3</t>
  </si>
  <si>
    <t>ООО "Плазма"</t>
  </si>
  <si>
    <t>ООО УК "Пономарев С.А."</t>
  </si>
  <si>
    <t>ЖСК ул. Гагарина,д.12</t>
  </si>
  <si>
    <t>ООО УК Теплый дом</t>
  </si>
  <si>
    <t>ТСН</t>
  </si>
  <si>
    <t>"Уют"</t>
  </si>
  <si>
    <t>ЖСК</t>
  </si>
  <si>
    <t>ЖСК ул. Гоголя, д.1а</t>
  </si>
  <si>
    <t>ЖСК ул. Гоголя, д.1б</t>
  </si>
  <si>
    <t>ЖСК ул. Гагарина, д.8</t>
  </si>
  <si>
    <t>ЖСК ул. Гагарина, д.9</t>
  </si>
  <si>
    <t>1917</t>
  </si>
  <si>
    <t>2</t>
  </si>
  <si>
    <t>1</t>
  </si>
  <si>
    <t>1968</t>
  </si>
  <si>
    <t>1961</t>
  </si>
  <si>
    <t>1969</t>
  </si>
  <si>
    <t>4</t>
  </si>
  <si>
    <t>1975</t>
  </si>
  <si>
    <t>1982</t>
  </si>
  <si>
    <t>Панельные</t>
  </si>
  <si>
    <t>3</t>
  </si>
  <si>
    <t>1979</t>
  </si>
  <si>
    <t>1971</t>
  </si>
  <si>
    <t>1970</t>
  </si>
  <si>
    <t>1964</t>
  </si>
  <si>
    <t>1981</t>
  </si>
  <si>
    <t>Ж/б панели</t>
  </si>
  <si>
    <t>МУП "ЖКХ" ЗАТО г. Радужный</t>
  </si>
  <si>
    <t>МУП "ЖКХ" ЗАТО г. Радужный </t>
  </si>
  <si>
    <t>ООО "Домоуправ"</t>
  </si>
  <si>
    <t>ООО ДУК "Территория"</t>
  </si>
  <si>
    <t>1989</t>
  </si>
  <si>
    <t>Шлакоблочные</t>
  </si>
  <si>
    <t>ООО "Верба"</t>
  </si>
  <si>
    <t>ООО "Союз"</t>
  </si>
  <si>
    <t>ООО УК "Партнер"</t>
  </si>
  <si>
    <t>ООО "РЕМСТРОЙ Южный"</t>
  </si>
  <si>
    <t>1992</t>
  </si>
  <si>
    <t>Деревянные</t>
  </si>
  <si>
    <t>ООО УК "ТеплоСервис"</t>
  </si>
  <si>
    <t>ООО "Управляющая компания № 1"</t>
  </si>
  <si>
    <t>ООО "ГУК"</t>
  </si>
  <si>
    <t>ООО "Жилцентр"</t>
  </si>
  <si>
    <t>ООО "ДомСервис"</t>
  </si>
  <si>
    <t>Блочные</t>
  </si>
  <si>
    <t xml:space="preserve">УК </t>
  </si>
  <si>
    <t>Комсервис+</t>
  </si>
  <si>
    <t>Плес+</t>
  </si>
  <si>
    <t>ООО "Управляющая организация ремонтно-эксплуатационное управление № 1"</t>
  </si>
  <si>
    <t>ТСЖ</t>
  </si>
  <si>
    <t>"Новый-1"</t>
  </si>
  <si>
    <t>ООО "МКД-Сервис" </t>
  </si>
  <si>
    <t xml:space="preserve">ТСН </t>
  </si>
  <si>
    <t>"Надежда"</t>
  </si>
  <si>
    <t>ООО "Управляющая организация"</t>
  </si>
  <si>
    <t>"Дом - 27"</t>
  </si>
  <si>
    <t>ООО "МУПЖРЭП"</t>
  </si>
  <si>
    <t>ООО "Жилищник-Центр"</t>
  </si>
  <si>
    <t>5,7,9</t>
  </si>
  <si>
    <t>1976</t>
  </si>
  <si>
    <t>5</t>
  </si>
  <si>
    <t>1972</t>
  </si>
  <si>
    <t>1977</t>
  </si>
  <si>
    <t>1959</t>
  </si>
  <si>
    <t>1980</t>
  </si>
  <si>
    <t>1986</t>
  </si>
  <si>
    <t>9</t>
  </si>
  <si>
    <t>1958</t>
  </si>
  <si>
    <t>2002</t>
  </si>
  <si>
    <t>1990</t>
  </si>
  <si>
    <t>1962</t>
  </si>
  <si>
    <t>1912</t>
  </si>
  <si>
    <t>1941</t>
  </si>
  <si>
    <t>деревянные</t>
  </si>
  <si>
    <t>1999</t>
  </si>
  <si>
    <t>1948</t>
  </si>
  <si>
    <t>1960</t>
  </si>
  <si>
    <t>1978</t>
  </si>
  <si>
    <t>1985</t>
  </si>
  <si>
    <t>1974</t>
  </si>
  <si>
    <t>6</t>
  </si>
  <si>
    <t>1987</t>
  </si>
  <si>
    <t>1956</t>
  </si>
  <si>
    <t>1983</t>
  </si>
  <si>
    <t>1966</t>
  </si>
  <si>
    <t>1994</t>
  </si>
  <si>
    <t>1973</t>
  </si>
  <si>
    <t>1963</t>
  </si>
  <si>
    <t>1965</t>
  </si>
  <si>
    <t>Радужный г, 1-й кв-л, 13</t>
  </si>
  <si>
    <t>Радужный г, 1-й кв-л, 37</t>
  </si>
  <si>
    <t>Радужный г, 3-й кв-л, 19</t>
  </si>
  <si>
    <t>Радужный г, 1-й кв-л, 26</t>
  </si>
  <si>
    <t>Радужный г, 1-й кв-л, 7</t>
  </si>
  <si>
    <t>Радужный г, 1-й кв-л, 12А</t>
  </si>
  <si>
    <t>Радужный г, 3-й кв-л, 29</t>
  </si>
  <si>
    <t>Муром г, Владимирская ул, 37</t>
  </si>
  <si>
    <t>Муром г, Владимирская ул, 2</t>
  </si>
  <si>
    <t>Муром г, Гоголева ул, 10</t>
  </si>
  <si>
    <t>Муром г, Дзержинского ул, 45</t>
  </si>
  <si>
    <t>Муром г, Комсомольская ул, 51</t>
  </si>
  <si>
    <t>Муром г, Куйбышева ул, 2</t>
  </si>
  <si>
    <t>Муром г, Куликова ул, 5</t>
  </si>
  <si>
    <t>Муром г, Лаврентьева ул, 42 корп. 2</t>
  </si>
  <si>
    <t>Муром г, Ленинградская ул, 34/6</t>
  </si>
  <si>
    <t>Муром г, Льва Толстого ул, 57</t>
  </si>
  <si>
    <t>Муром г, Мичуринская ул, 19</t>
  </si>
  <si>
    <t>Муром г, Муромская ул, 15</t>
  </si>
  <si>
    <t>Муром г, Первомайская ул, 84</t>
  </si>
  <si>
    <t>Муром г, Щербакова ул, 25</t>
  </si>
  <si>
    <t>Муром г, Энгельса ул, 5</t>
  </si>
  <si>
    <t>Муром г, Владимирская ул, 35а</t>
  </si>
  <si>
    <t>Муром г, Дзержинского ул, 4</t>
  </si>
  <si>
    <t>Муром г, Кленовая ул, 1 корп. 2</t>
  </si>
  <si>
    <t>Муром г, Куликова ул, 25</t>
  </si>
  <si>
    <t>Муром г, Ленинградская ул, 5</t>
  </si>
  <si>
    <t>Муром г, Ленинградская ул, 9</t>
  </si>
  <si>
    <t>Муром г, Мичуринская ул, 11</t>
  </si>
  <si>
    <t>Муром г, Мичуринская ул, 27</t>
  </si>
  <si>
    <t>Муром г, Московская ул, 30</t>
  </si>
  <si>
    <t>Муром г, Московская ул, 42</t>
  </si>
  <si>
    <t>Муром г, Московская ул, 109</t>
  </si>
  <si>
    <t>Муром г, Московская ул, 112</t>
  </si>
  <si>
    <t>Муром г, Муромская ул, 17</t>
  </si>
  <si>
    <t>Муром г, Набережная ул, 17</t>
  </si>
  <si>
    <t>Муром г, Орловская ул, 19</t>
  </si>
  <si>
    <t>Муром г, Спортивная ул, 11</t>
  </si>
  <si>
    <t>Муром г, Спортивная ул, 12</t>
  </si>
  <si>
    <t>Муром г, Свердлова ул, 49</t>
  </si>
  <si>
    <t>Муром г, Первомайская ул, 22</t>
  </si>
  <si>
    <t>Муром г, Филатова ул, 19а</t>
  </si>
  <si>
    <t>Муром г, Цветочный б-р, 6</t>
  </si>
  <si>
    <t>Муром г, Южная ул, 7</t>
  </si>
  <si>
    <t>Муром г, 30 лет Победы ул, 1</t>
  </si>
  <si>
    <t>Муром г, Артема ул, 11</t>
  </si>
  <si>
    <t>Муром г, Заводская ул, 21</t>
  </si>
  <si>
    <t>Муром г, Кирова ул, 26</t>
  </si>
  <si>
    <t>Муром г, Коммунистическая ул, 39</t>
  </si>
  <si>
    <t>Муром г, Лаврентьева ул, 41</t>
  </si>
  <si>
    <t>Муром г, Ленинградская ул, 19</t>
  </si>
  <si>
    <t>Муром г, Ленинградская ул, 29/2</t>
  </si>
  <si>
    <t>Муром г, Московская ул, 86</t>
  </si>
  <si>
    <t>Муром г, Московская ул, 71</t>
  </si>
  <si>
    <t>Муром г, Муромская ул, 19</t>
  </si>
  <si>
    <t>Муром г, Октябрьская ул, 106</t>
  </si>
  <si>
    <t>Муром г, Пролетарская ул, 1б</t>
  </si>
  <si>
    <t>Муром г, Радиозаводское ш, 46</t>
  </si>
  <si>
    <t>Муром г, Спортивная ул, 8</t>
  </si>
  <si>
    <t>Муром г, Свердлова ул, 17</t>
  </si>
  <si>
    <t>Муром г, Чкалова ул, 29</t>
  </si>
  <si>
    <t>Муром г, Щербакова ул, 33</t>
  </si>
  <si>
    <t>Муром г, Энергетиков ул, 3а</t>
  </si>
  <si>
    <t>Муром г, Экземплярского ул, 74</t>
  </si>
  <si>
    <t>Гусь-Хрустальный г, Гражданский пер, 9</t>
  </si>
  <si>
    <t>Гусь-Хрустальный г, Дружбы Народов ул, 18</t>
  </si>
  <si>
    <t>Гусь-Хрустальный г, Зеркальная ул, 3</t>
  </si>
  <si>
    <t>Гусь-Хрустальный г, Зеркальная ул, 5</t>
  </si>
  <si>
    <t>Гусь-Хрустальный г, Зеркальная ул, 6</t>
  </si>
  <si>
    <t>Гусь-Хрустальный г, Зеркальная ул, 8</t>
  </si>
  <si>
    <t>Гусь-Хрустальный г, Микрорайон ул, 2</t>
  </si>
  <si>
    <t>Гусь-Хрустальный г, Микрорайон ул, 12</t>
  </si>
  <si>
    <t>Гусь-Хрустальный г, Микрорайон ул, 13</t>
  </si>
  <si>
    <t>Гусь-Хрустальный г, Микрорайон ул, 23</t>
  </si>
  <si>
    <t>Гусь-Хрустальный г, Микрорайон ул, 25</t>
  </si>
  <si>
    <t>Гусь-Хрустальный г, Микрорайон ул, 27</t>
  </si>
  <si>
    <t>Гусь-Хрустальный г, Писарева ул, 14</t>
  </si>
  <si>
    <t>Гусь-Хрустальный г, Ленинградская ул, 12</t>
  </si>
  <si>
    <t>Гусь-Хрустальный г, Мира ул, 5</t>
  </si>
  <si>
    <t>Гусь-Хрустальный г, Микрорайон ул, 31</t>
  </si>
  <si>
    <t>Гусь-Хрустальный г, Гусевский п, Интернациональная ул, 6</t>
  </si>
  <si>
    <t>Гусь-Хрустальный г, Гусевский п, Интернациональная ул, 8</t>
  </si>
  <si>
    <t>Гусь-Хрустальный г, Гусевский п, Мира ул, 5</t>
  </si>
  <si>
    <t>Гусь-Хрустальный г, Гусевский п, Мира ул, 17</t>
  </si>
  <si>
    <t>Гусь-Хрустальный г, Гусевский п, Октябрьская ул, 9</t>
  </si>
  <si>
    <t>Гусь-Хрустальный г, Гусевский п, Октябрьская ул, 11</t>
  </si>
  <si>
    <t>Гусь-Хрустальный г, Новый п, Ленина ул, 13</t>
  </si>
  <si>
    <t>Гусь-Хрустальный г, Теплицкий пр-кт, 22</t>
  </si>
  <si>
    <t>Гусь-Хрустальный г, Калинина ул, 53</t>
  </si>
  <si>
    <t>Гусь-Хрустальный г, Карла Маркса ул, 10/13</t>
  </si>
  <si>
    <t>Гусь-Хрустальный г, Курловская ул, 10</t>
  </si>
  <si>
    <t>Гусь-Хрустальный г, Микрорайон ул, 21</t>
  </si>
  <si>
    <t>Гусь-Хрустальный г, Микрорайон ул, 37</t>
  </si>
  <si>
    <t>Гусь-Хрустальный г, Микрорайон ул, 40</t>
  </si>
  <si>
    <t>Гусь-Хрустальный г, Мира ул, 20</t>
  </si>
  <si>
    <t>Гусь-Хрустальный г, Осьмова ул, 24</t>
  </si>
  <si>
    <t>Гусь-Хрустальный г, Гусевский п, Мира ул, 6</t>
  </si>
  <si>
    <t>Гусь-Хрустальный г, Гусевский п, Строительная ул, 20</t>
  </si>
  <si>
    <t>Гусь-Хрустальный г, Новый п, Ленина ул, 9</t>
  </si>
  <si>
    <t>Гусь-Хрустальный г, 50 лет Советской Власти пр-кт, 27</t>
  </si>
  <si>
    <t>Гусь-Хрустальный г, Транспортная ул, 6</t>
  </si>
  <si>
    <t>Владимир г, Алябьева ул, 3а</t>
  </si>
  <si>
    <t>Владимир г, Безыменского ул, 14а</t>
  </si>
  <si>
    <t>Владимир г, Белоконской ул, 12</t>
  </si>
  <si>
    <t>Владимир г, Белоконской ул, 23</t>
  </si>
  <si>
    <t>Владимир г, Большая Нижегородская ул, 105д</t>
  </si>
  <si>
    <t>Владимир г, Василисина ул, 5</t>
  </si>
  <si>
    <t>Владимир г, Василисина ул, 10а</t>
  </si>
  <si>
    <t>Владимир г, Вокзальная ул, 11</t>
  </si>
  <si>
    <t>Владимир г, Воровского ул, 6</t>
  </si>
  <si>
    <t>Владимир г, Горького ул, 52А</t>
  </si>
  <si>
    <t>Владимир г, Диктора Левитана ул, 26</t>
  </si>
  <si>
    <t>Владимир г, Добросельская ул, 213</t>
  </si>
  <si>
    <t>Владимир г, Добросельский проезд, 4</t>
  </si>
  <si>
    <t>Владимир г, Завадского ул, 11В</t>
  </si>
  <si>
    <t>Владимир г, Комиссарова ул, 2</t>
  </si>
  <si>
    <t>Владимир г, Комиссарова ул, 3А</t>
  </si>
  <si>
    <t>Владимир г, Комиссарова ул, 51</t>
  </si>
  <si>
    <t>Владимир г, Лакина ул, 139В</t>
  </si>
  <si>
    <t>Владимир г, Лакина ул, 141Г</t>
  </si>
  <si>
    <t>Владимир г, Лакина ул, 191</t>
  </si>
  <si>
    <t>Владимир г, Лакина проезд, 4</t>
  </si>
  <si>
    <t>Владимир г, Ленина пр-кт, 24</t>
  </si>
  <si>
    <t>Владимир г, Коммунар мкр, Песочная ул, 11</t>
  </si>
  <si>
    <t>Владимир г, Растопчина ул, 41а</t>
  </si>
  <si>
    <t>Владимир г, Спасское с, Садовая ул, 2</t>
  </si>
  <si>
    <t>Владимир г, Спасское с, Совхозная ул, 5</t>
  </si>
  <si>
    <t>Владимир г, Энергетик мкр, Совхозная ул, 7</t>
  </si>
  <si>
    <t>Владимир г, Соколова-Соколенка ул, 4</t>
  </si>
  <si>
    <t>Владимир г, Соколова-Соколенка ул, 6б</t>
  </si>
  <si>
    <t>Владимир г, Соколова-Соколенка ул, 19а</t>
  </si>
  <si>
    <t>Владимир г, Соколова-Соколенка ул, 19в</t>
  </si>
  <si>
    <t>Владимир г, Ставровская ул, 6А</t>
  </si>
  <si>
    <t>Владимир г, Стасова ул, 40А</t>
  </si>
  <si>
    <t>Владимир г, Стрелецкий городок, 52</t>
  </si>
  <si>
    <t>Владимир г, Строителей пр-кт, 26Б</t>
  </si>
  <si>
    <t>Владимир г, Студенческая ул, 2А</t>
  </si>
  <si>
    <t>Владимир г, Судогодское ш, 3а</t>
  </si>
  <si>
    <t>Владимир г, Судогодское ш, 7а</t>
  </si>
  <si>
    <t>Владимир г, Судогодское ш, 23</t>
  </si>
  <si>
    <t>Владимир г, Судогодское ш, 23б</t>
  </si>
  <si>
    <t>Владимир г, Судогодское ш, 25а</t>
  </si>
  <si>
    <t>Владимир г, Тихонравова ул, 3А</t>
  </si>
  <si>
    <t>Владимир г, Тихонравова ул, 8</t>
  </si>
  <si>
    <t>Владимир г, Труда ул, 11</t>
  </si>
  <si>
    <t>Владимир г, Фатьянова ул, 27</t>
  </si>
  <si>
    <t>Владимир г, Фейгина ул, 2/20</t>
  </si>
  <si>
    <t>Владимир г, Заклязьменский п, Центральная ул, 18</t>
  </si>
  <si>
    <t>Владимир г, Чапаева ул, 5</t>
  </si>
  <si>
    <t>Владимир г, Коммунар мкр, Школьная ул, 4</t>
  </si>
  <si>
    <t>Владимир г, Балакирева ул, 28</t>
  </si>
  <si>
    <t>Владимир г, Балакирева ул, 41а</t>
  </si>
  <si>
    <t>Владимир г, Балакирева ул, 43д</t>
  </si>
  <si>
    <t>Владимир г, Безыменского ул, 5б</t>
  </si>
  <si>
    <t>Владимир г, Безыменского ул, 10а</t>
  </si>
  <si>
    <t>Владимир г, Безыменского ул, 10б</t>
  </si>
  <si>
    <t>Владимир г, Белоконской ул, 15В</t>
  </si>
  <si>
    <t>Владимир г, Василисина ул, 10в</t>
  </si>
  <si>
    <t>Владимир г, Вокзальная ул, 71</t>
  </si>
  <si>
    <t>Владимир г, Диктора Левитана ул, 3Б</t>
  </si>
  <si>
    <t>Владимир г, Диктора Левитана ул, 4А</t>
  </si>
  <si>
    <t>Владимир г, Диктора Левитана ул, 33</t>
  </si>
  <si>
    <t>Владимир г, Добросельская ул, 4</t>
  </si>
  <si>
    <t>Владимир г, Добросельская ул, 167б</t>
  </si>
  <si>
    <t>Владимир г, Добросельская ул, 207а</t>
  </si>
  <si>
    <t>Владимир г, Добросельская ул, 205</t>
  </si>
  <si>
    <t>Владимир г, Добросельская ул, 211а</t>
  </si>
  <si>
    <t>Владимир г, Лакина ул, 137А</t>
  </si>
  <si>
    <t>Владимир г, Лакина ул, 147Б</t>
  </si>
  <si>
    <t>Владимир г, Ленина пр-кт, 62</t>
  </si>
  <si>
    <t>Владимир г, Мира ул, 32Б</t>
  </si>
  <si>
    <t>Владимир г, Мира ул, 42</t>
  </si>
  <si>
    <t>Владимир г, Михайловская ул, 20</t>
  </si>
  <si>
    <t>Владимир г, Октябрьский пр-кт, 43</t>
  </si>
  <si>
    <t>Владимир г, Октябрьский пр-кт, 45</t>
  </si>
  <si>
    <t>Владимир г, Октябрьский пр-кт, 45А</t>
  </si>
  <si>
    <t>Владимир г, Полины Осипенко ул, 20</t>
  </si>
  <si>
    <t>Владимир г, Растопчина ул, 17</t>
  </si>
  <si>
    <t>Владимир г, Поселок РТС ул, 1</t>
  </si>
  <si>
    <t>Владимир г, Спасское с, Садовая ул, 1</t>
  </si>
  <si>
    <t>Владимир г, Семашко ул, 4</t>
  </si>
  <si>
    <t>Владимир г, Энергетик мкр, Совхозная ул, 4</t>
  </si>
  <si>
    <t>Владимир г, Солнечная ул, 52</t>
  </si>
  <si>
    <t>Владимир г, Стасова ул, 1/36</t>
  </si>
  <si>
    <t>Владимир г, Стрелецкая ул, 27Б</t>
  </si>
  <si>
    <t>Владимир г, Строителей пр-кт, 30</t>
  </si>
  <si>
    <t>Владимир г, Студенческая ул, 1</t>
  </si>
  <si>
    <t>Владимир г, Судогодское ш, 5а</t>
  </si>
  <si>
    <t>Владимир г, Суздальский пр-кт, 17а</t>
  </si>
  <si>
    <t>Владимир г, Тракторная ул, 14</t>
  </si>
  <si>
    <t>Владимир г, Усти-на-Лабе ул, 22</t>
  </si>
  <si>
    <t>Владимир г, 1-й Коллективный проезд, 4</t>
  </si>
  <si>
    <t>Владимир г, Алябьева ул, 23а</t>
  </si>
  <si>
    <t>Владимир г, Балакирева ул, 29</t>
  </si>
  <si>
    <t>Владимир г, Балакирева ул, 35</t>
  </si>
  <si>
    <t>Владимир г, Балакирева ул, 37г</t>
  </si>
  <si>
    <t>Владимир г, Балакирева ул, 39</t>
  </si>
  <si>
    <t>Владимир г, Безыменского ул, 21б</t>
  </si>
  <si>
    <t>Владимир г, Верхняя Дуброва ул, 38В</t>
  </si>
  <si>
    <t>Владимир г, Добросельская ул, 161а</t>
  </si>
  <si>
    <t>Владимир г, Егорова ул, 6</t>
  </si>
  <si>
    <t>Владимир г, Жуковского ул, 2</t>
  </si>
  <si>
    <t>Владимир г, Жуковского ул, 8</t>
  </si>
  <si>
    <t>Владимир г, Жуковского ул, 8Б</t>
  </si>
  <si>
    <t>Владимир г, Казарменная ул, 5</t>
  </si>
  <si>
    <t>Владимир г, Каманина ул, 14</t>
  </si>
  <si>
    <t>Владимир г, Красноармейская ул, 24</t>
  </si>
  <si>
    <t>Владимир г, Краснознаменная ул, 8А</t>
  </si>
  <si>
    <t>Владимир г, Лакина ул, 129В</t>
  </si>
  <si>
    <t>Владимир г, Лакина ул, 129Г</t>
  </si>
  <si>
    <t>Владимир г, Лакина ул, 131</t>
  </si>
  <si>
    <t>Владимир г, Лакина ул, 153</t>
  </si>
  <si>
    <t>Владимир г, Ленина пр-кт, 35Б</t>
  </si>
  <si>
    <t>Владимир г, Ленина пр-кт, 67Б</t>
  </si>
  <si>
    <t>Владимир г, Ново-Ямская ул, 23</t>
  </si>
  <si>
    <t>Владимир г, Ново-Ямской пер, 4б</t>
  </si>
  <si>
    <t>Владимир г, Октябрьский пр-кт, 12</t>
  </si>
  <si>
    <t>Владимир г, Октябрьский пр-кт, 41</t>
  </si>
  <si>
    <t>Владимир г, Перекопский городок, 8</t>
  </si>
  <si>
    <t>Владимир г, Перекопский городок, 14</t>
  </si>
  <si>
    <t>Владимир г, Полины Осипенко ул, 1</t>
  </si>
  <si>
    <t>Владимир г, Помпецкий пер, 1</t>
  </si>
  <si>
    <t>Владимир г, Растопчина ул, 29</t>
  </si>
  <si>
    <t>Владимир г, Строителей пр-кт, 4А</t>
  </si>
  <si>
    <t>Владимир г, Строителей пр-кт, 16Б</t>
  </si>
  <si>
    <t>Владимир г, Строителей пр-кт, 25</t>
  </si>
  <si>
    <t>Владимир г, Строителей пр-кт, 42А</t>
  </si>
  <si>
    <t>Владимир г, Строителей пр-кт, 46В</t>
  </si>
  <si>
    <t>Владимир г, Строителей ул, 6А</t>
  </si>
  <si>
    <t>Владимир г, Строителей ул, 10А</t>
  </si>
  <si>
    <t>Владимир г, Суворова ул, 1а</t>
  </si>
  <si>
    <t>Владимир г, Суворова ул, 5</t>
  </si>
  <si>
    <t>Владимир г, Суворова ул, 8</t>
  </si>
  <si>
    <t>Владимир г, Фатьянова ул, 24</t>
  </si>
  <si>
    <t>Владимир г, Энергетик мкр, Энергетиков ул, 11Б</t>
  </si>
  <si>
    <t>Владимир г, Энергетик мкр, Энергетиков ул, 14Б</t>
  </si>
  <si>
    <t>Владимир г, Юбилейная ул, 6</t>
  </si>
  <si>
    <t>Владимир г, Юбилейная ул, 34</t>
  </si>
  <si>
    <t>Александров г, 1-я Лесная ул, 6</t>
  </si>
  <si>
    <t>Александров г, Гагарина ул, 1 корп. 1</t>
  </si>
  <si>
    <t>Александров г, Гагарина ул, 15</t>
  </si>
  <si>
    <t>Александров г, Гагарина ул, 3</t>
  </si>
  <si>
    <t>Александров г, Гагарина ул, 5</t>
  </si>
  <si>
    <t>Александров г, Гагарина ул, 7</t>
  </si>
  <si>
    <t>Александров г, Королева ул, 7</t>
  </si>
  <si>
    <t>Александров г, Королева ул, 9</t>
  </si>
  <si>
    <t>Александров г, Коссович ул, 6</t>
  </si>
  <si>
    <t>Александров г, Красный Переулок ул, 25 корп. 2</t>
  </si>
  <si>
    <t>Александров г, Красный Переулок ул, 4</t>
  </si>
  <si>
    <t>Александров г, Красный Переулок ул, 9</t>
  </si>
  <si>
    <t>Александров г, Ленина ул, 32</t>
  </si>
  <si>
    <t>Александров г, Маяковского ул, 1</t>
  </si>
  <si>
    <t>Александров г, Маяковского ул, 38</t>
  </si>
  <si>
    <t>Александров г, Маяковского ул, 7</t>
  </si>
  <si>
    <t>Александров г, Октябрьская ул, 12</t>
  </si>
  <si>
    <t>Александров г, П.Топоркова ул, 5</t>
  </si>
  <si>
    <t>Александров г, Перфильева ул, 10</t>
  </si>
  <si>
    <t>Александров г, Революции ул, 48</t>
  </si>
  <si>
    <t>Александров г, Революции ул, 51</t>
  </si>
  <si>
    <t>Александров г, Революции ул, 57</t>
  </si>
  <si>
    <t>Александров г, Революции ул, 87</t>
  </si>
  <si>
    <t>Александров г, Свердлова ул, 39 корп. 1</t>
  </si>
  <si>
    <t>Александров г, Свердлова ул, 39</t>
  </si>
  <si>
    <t>Александров г, Советская ул, 23</t>
  </si>
  <si>
    <t>Александров г, Терешковой ул, 1</t>
  </si>
  <si>
    <t>Александров г, Терешковой ул, 13 корп. 3</t>
  </si>
  <si>
    <t>Александров г, Терешковой ул, 2 корп. 2</t>
  </si>
  <si>
    <t>Александров г, Фабрика Калинина ул, 22</t>
  </si>
  <si>
    <t>Александровский р-н, Балакирево пгт, Вокзальная ул, 10</t>
  </si>
  <si>
    <t>Александровский р-н, Балакирево пгт, Заводская ул, 2</t>
  </si>
  <si>
    <t>Александровский р-н, Балакирево пгт, Юго-Западный кв-л, 16</t>
  </si>
  <si>
    <t>Александровский р-н, Балакирево пгт, Юго-Западный кв-л, 17</t>
  </si>
  <si>
    <t>Александровский р-н, Балакирево пгт, Юго-Западный кв-л, 22</t>
  </si>
  <si>
    <t>Александровский р-н, Балакирево пгт, Юго-Западный кв-л, 7</t>
  </si>
  <si>
    <t>Александровский р-н, Балакирево пгт, Юго-Западный кв-л, 9</t>
  </si>
  <si>
    <t>Александровский р-н, Карабаново г, Карпова ул, 1</t>
  </si>
  <si>
    <t>Александровский р-н, Карабаново г, Мира ул, 13</t>
  </si>
  <si>
    <t>Александровский р-н, Карабаново г, Мира ул, 17</t>
  </si>
  <si>
    <t>Александровский р-н, Карабаново г, Ногина ул, 13</t>
  </si>
  <si>
    <t>Александровский р-н, Карабаново г, Первомайская пл, 4</t>
  </si>
  <si>
    <t>Александровский р-н, Карабаново г, Почтовая ул, 19</t>
  </si>
  <si>
    <t>Александровский р-н, Карабаново г, Почтовая ул, 20</t>
  </si>
  <si>
    <t>Александровский р-н, Карабаново г, Чулкова ул, 1</t>
  </si>
  <si>
    <t>Александровский р-н, Струнино г, Больничный проезд, 11</t>
  </si>
  <si>
    <t>Александровский р-н, Струнино г, Больничный проезд, 15</t>
  </si>
  <si>
    <t>Александровский р-н, Струнино г, Больничный проезд, 8</t>
  </si>
  <si>
    <t>Александровский р-н, Струнино г, Дубки кв-л, 9</t>
  </si>
  <si>
    <t>Александровский р-н, Струнино г, Заречная ул, 1а</t>
  </si>
  <si>
    <t>Александровский р-н, Струнино г, Чкалова пер, 1</t>
  </si>
  <si>
    <t>Вязники г, Герцена ул, 40</t>
  </si>
  <si>
    <t>Вязники г, Дечинский мкр, 14</t>
  </si>
  <si>
    <t>Вязники г, Дечинский мкр, 2</t>
  </si>
  <si>
    <t>Вязники г, Ефимьево ул, 10</t>
  </si>
  <si>
    <t>Вязники г, Калинина ул, 7</t>
  </si>
  <si>
    <t>Вязники г, Л.Толстого ул, 2/26</t>
  </si>
  <si>
    <t>Вязники г, Л.Толстого ул, 51/22</t>
  </si>
  <si>
    <t>Вязники г, Ленина ул, 6</t>
  </si>
  <si>
    <t>Вязники г, Металлистов ул, 12</t>
  </si>
  <si>
    <t>Вязники г, Металлистов ул, 14</t>
  </si>
  <si>
    <t>Вязники г, Металлистов ул, 16</t>
  </si>
  <si>
    <t>Вязники г, Металлистов ул, 19</t>
  </si>
  <si>
    <t>Вязники г, Нововязники мкр, Механизаторов ул, 108</t>
  </si>
  <si>
    <t>Вязники г, Нововязники мкр, Текстильная ул, 1</t>
  </si>
  <si>
    <t>Вязники г, Нововязники мкр, Южная ул, 11</t>
  </si>
  <si>
    <t>Вязники г, Сергиевских ул, 4</t>
  </si>
  <si>
    <t>Вязники г, Советская ул, 60/2</t>
  </si>
  <si>
    <t>Вязниковский р-н, Барское Татарово с, Совхозная ул, 15</t>
  </si>
  <si>
    <t>Вязниковский р-н, Мстёра ст, Дома подстанции ул, 1</t>
  </si>
  <si>
    <t>Вязниковский р-н, Никологоры п, 1-я Пролетарская ул, 59</t>
  </si>
  <si>
    <t>Вязниковский р-н, Никологоры п, Механическая ул, 55</t>
  </si>
  <si>
    <t>Вязниковский р-н, Никологоры п, Подгорье ул, 13</t>
  </si>
  <si>
    <t>Вязниковский р-н, Никологоры п, Юбилейная ул, 7б</t>
  </si>
  <si>
    <t>Вязниковский р-н, Октябрьская д, Садовая ул, 2</t>
  </si>
  <si>
    <t>Вязниковский р-н, Октябрьский п, Клубная ул, 4</t>
  </si>
  <si>
    <t>Вязниковский р-н, Октябрьский п, Маяковского ул, 3а</t>
  </si>
  <si>
    <t>Вязниковский р-н, Паустово д, Текстильщиков ул, 10</t>
  </si>
  <si>
    <t>Вязниковский р-н, Паустово д, Текстильщиков ул, 17</t>
  </si>
  <si>
    <t>Вязниковский р-н, Паустово д, Фабричная ул, 6</t>
  </si>
  <si>
    <t>Вязниковский р-н, Пески д, Новая ул, 6</t>
  </si>
  <si>
    <t>Вязниковский р-н, Пески д, Новая ул, 7</t>
  </si>
  <si>
    <t>Вязниковский р-н, Пировы Городищи д, Молодежная ул, 5</t>
  </si>
  <si>
    <t>Вязниковский р-н, Сергиевы Горки с, Садовая ул, 4</t>
  </si>
  <si>
    <t>Вязниковский р-н, Серково д, Новая ул, 2</t>
  </si>
  <si>
    <t>Вязниковский р-н, Степанцево п, Ленина ул, 16</t>
  </si>
  <si>
    <t>Вязниковский р-н, Степанцево п, Совхозная ул, 4</t>
  </si>
  <si>
    <t>Вязниковский р-н, Центральный п, Главная ул, 18</t>
  </si>
  <si>
    <t>Вязниковский р-н, Центральный п, Клубная ул, 4</t>
  </si>
  <si>
    <t>Камешково г, Карла Маркса ул, 62</t>
  </si>
  <si>
    <t>Камешково г, Комсомольская пл, 10б</t>
  </si>
  <si>
    <t>Камешково г, Смурова ул, 7</t>
  </si>
  <si>
    <t>Камешково г, Советская ул, 2</t>
  </si>
  <si>
    <t>Камешковский р-н, Гатиха с, Шоссейная ул, 1</t>
  </si>
  <si>
    <t>Камешковский р-н, им Максима Горького п, Морозова ул, 4</t>
  </si>
  <si>
    <t>Камешковский р-н, им Максима Горького п, Шоссейная ул, 2</t>
  </si>
  <si>
    <t>Камешковский р-н, Коверино с, Садовая ул, 5</t>
  </si>
  <si>
    <t>Камешковский р-н, Новки п, Чапаева ул, 13</t>
  </si>
  <si>
    <t>Камешковский р-н, Новки п, Чапаева ул, 21</t>
  </si>
  <si>
    <t>ООО УК "Селиваново"</t>
  </si>
  <si>
    <t>ТСЖ "Королева 9"</t>
  </si>
  <si>
    <t>ООО "Перспектива"</t>
  </si>
  <si>
    <t>ООО "Содружество"</t>
  </si>
  <si>
    <t>ООО "РСК"</t>
  </si>
  <si>
    <t>ООО "ЖКХ "УЮТ"</t>
  </si>
  <si>
    <t>ТСЖ "Калина"</t>
  </si>
  <si>
    <t>ООО "Балремстрой"</t>
  </si>
  <si>
    <t>ООО "ЖКО"</t>
  </si>
  <si>
    <t>ООО "Потенциал"</t>
  </si>
  <si>
    <t>ООО "Алдега"</t>
  </si>
  <si>
    <t>ООО "Содружество С"</t>
  </si>
  <si>
    <t>УК "НУК"</t>
  </si>
  <si>
    <t>ТСЖ "Совхозное"</t>
  </si>
  <si>
    <t>МУП "ЖКС"</t>
  </si>
  <si>
    <t>ТСЖ "Ефимьево 10"</t>
  </si>
  <si>
    <t>ООО "ЖЭК № 3"</t>
  </si>
  <si>
    <t>ТСЖ "Волна"</t>
  </si>
  <si>
    <t>ООО "ЖЭК"Никологоры"</t>
  </si>
  <si>
    <t>ТСЖ "Южная 11"</t>
  </si>
  <si>
    <t>ТСЖ "Березка"</t>
  </si>
  <si>
    <t>Бетонные</t>
  </si>
  <si>
    <t>ТСЖ "Степанцевское"</t>
  </si>
  <si>
    <t>ТСЖ "Дечинский 14"</t>
  </si>
  <si>
    <t>ООО "МП "Альтернатива"</t>
  </si>
  <si>
    <t>ООО"Жилфонд"</t>
  </si>
  <si>
    <t>ООО "Уют"</t>
  </si>
  <si>
    <t>ООО "Надежда"</t>
  </si>
  <si>
    <t xml:space="preserve"> </t>
  </si>
  <si>
    <t>Приложение к Таблице №1</t>
  </si>
  <si>
    <t>Получатель бюджетных средств - Некоммерческая организация "Фонд капитального ремонта многоквартирных домов Владимирской области"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</si>
  <si>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</si>
  <si>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</si>
  <si>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</si>
  <si>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</si>
  <si>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</si>
  <si>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</si>
  <si>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Ресурсное обеспечение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</t>
  </si>
  <si>
    <t>Объем финансирования в 2020 г., руб.</t>
  </si>
  <si>
    <t>Объем финансирования в 2021 г., руб.</t>
  </si>
  <si>
    <t>Объем финансирования в 2022 г., руб.</t>
  </si>
  <si>
    <t xml:space="preserve">Таблица №2 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</si>
  <si>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</si>
  <si>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</si>
  <si>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</si>
  <si>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</si>
  <si>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</si>
  <si>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</si>
  <si>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2020-2022 годы </t>
  </si>
  <si>
    <t xml:space="preserve">Прогноз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 </t>
  </si>
  <si>
    <t>Х</t>
  </si>
  <si>
    <t>Итого по сводному краткосрочному плану на 2020-2022 годы</t>
  </si>
  <si>
    <t>Итого по сводному краткосрочному плану на 2020 год</t>
  </si>
  <si>
    <t>Итого по сводному краткосрочному плану на 2021 год</t>
  </si>
  <si>
    <t>Итого по сводному краткосрочному плану на 2022 год</t>
  </si>
  <si>
    <t xml:space="preserve">Итого по город Гусь-Хрустальный  </t>
  </si>
  <si>
    <t xml:space="preserve">Итого по округ Муром  </t>
  </si>
  <si>
    <t xml:space="preserve">Итого по ЗАТО город Радужный  </t>
  </si>
  <si>
    <t>Вязниковский р-н, Никологоры п, Красноармейский пер, 1</t>
  </si>
  <si>
    <t>Итого по город Ковров</t>
  </si>
  <si>
    <t>Ковров г, Абельмана ул, 46</t>
  </si>
  <si>
    <t>Ковров г, Брюсова проезд, 4</t>
  </si>
  <si>
    <t>Ковров г, Грибоедова ул, 119</t>
  </si>
  <si>
    <t>Ковров г, Запольная ул, 26</t>
  </si>
  <si>
    <t>Ковров г, Зои Космодемьянской ул, 26/1</t>
  </si>
  <si>
    <t>Ковров г, Кирова ул, 73</t>
  </si>
  <si>
    <t>Ковров г, Кирова ул, 77</t>
  </si>
  <si>
    <t>Ковров г, Ковров-8 тер, 2</t>
  </si>
  <si>
    <t>Ковров г, Куйбышева ул, 11</t>
  </si>
  <si>
    <t>Ковров г, Ленина пр-кт, 23</t>
  </si>
  <si>
    <t>Ковров г, Муромская ул, 9</t>
  </si>
  <si>
    <t>Ковров г, Социалистическая ул, 10</t>
  </si>
  <si>
    <t>Ковров г, Ватутина ул, 2а</t>
  </si>
  <si>
    <t>Ковров г, Дегтярева ул, 164</t>
  </si>
  <si>
    <t>Ковров г, Еловая ул, 82/2</t>
  </si>
  <si>
    <t>Ковров г, Железнодорожная ул, 55</t>
  </si>
  <si>
    <t>Ковров г, Маяковского ул, 79</t>
  </si>
  <si>
    <t>Ковров г, Пугачева ул, 9</t>
  </si>
  <si>
    <t>Ковров г, Солнечная ул, 2</t>
  </si>
  <si>
    <t>Ковров г, Строителей ул, 5</t>
  </si>
  <si>
    <t xml:space="preserve">Итого по город Ковров </t>
  </si>
  <si>
    <t>Ковров г, Барсукова ул, 14а</t>
  </si>
  <si>
    <t>Ковров г, Васильева ул, 14а</t>
  </si>
  <si>
    <t>Ковров г, Ватутина ул, 2в</t>
  </si>
  <si>
    <t>Ковров г, Еловая ул, 82/3</t>
  </si>
  <si>
    <t>Ковров г, Клязьменская ул, 10</t>
  </si>
  <si>
    <t>Ковров г, Ковров-8 тер, 1</t>
  </si>
  <si>
    <t>Ковров г, Ковров-8 тер, 6</t>
  </si>
  <si>
    <t>Ковров г, Муромская ул, 7</t>
  </si>
  <si>
    <t>Ковров г, Сосновая ул, 18</t>
  </si>
  <si>
    <t>Ковров г, Федорова ул, 91</t>
  </si>
  <si>
    <t>Ковровский р-н, Мелехово пгт, Школьный пер, 26</t>
  </si>
  <si>
    <t>Ковровский р-н, Новый п, Першутова ул, 4</t>
  </si>
  <si>
    <t>Суздальский р-н, Гавриловское с, Школьная ул, 17</t>
  </si>
  <si>
    <t>Камешковский р-н, Лубенцы д, 66</t>
  </si>
  <si>
    <t>Петушинский р-н, Покров г, 3 Интернационала ул, 79а</t>
  </si>
  <si>
    <t>Владимир г, Каманина ул, 22</t>
  </si>
  <si>
    <t>Владимир г, Луначарского ул, 39</t>
  </si>
  <si>
    <t>Владимир г, Совхоз Вышка ул, 10</t>
  </si>
  <si>
    <t>Владимир г, Нижняя Дуброва ул, 22</t>
  </si>
  <si>
    <t>ООО "УК "Веста"</t>
  </si>
  <si>
    <t>ООО "ЖЭЦ-управление"</t>
  </si>
  <si>
    <t>ООО УМД "Континент"</t>
  </si>
  <si>
    <t>ООО ЖКО "РОСКО"</t>
  </si>
  <si>
    <t>ООО "КЭЧ"</t>
  </si>
  <si>
    <t>ООО УК "Согласие"</t>
  </si>
  <si>
    <t>ООО "УК "ВИКА"</t>
  </si>
  <si>
    <t>ООО УК "Жилсервис"</t>
  </si>
  <si>
    <t>ООО "УК "Восточное"</t>
  </si>
  <si>
    <t>ООО "Комсервис+"</t>
  </si>
  <si>
    <t>ЖСК 9</t>
  </si>
  <si>
    <t xml:space="preserve"> "Новый-2" </t>
  </si>
  <si>
    <t>Ковров г, Зои Космодемьянской ул, 21</t>
  </si>
  <si>
    <t>Муром г, Владимирское ш, 12</t>
  </si>
  <si>
    <t>Итого по город Александров</t>
  </si>
  <si>
    <t>Итого по поселок Балакирево</t>
  </si>
  <si>
    <t>Итого по город Карабаново</t>
  </si>
  <si>
    <t>Итого по город Струнино</t>
  </si>
  <si>
    <t>Итого по поселок Никологоры</t>
  </si>
  <si>
    <t>Итого по Степанцевское</t>
  </si>
  <si>
    <t>Итого по Паустовское</t>
  </si>
  <si>
    <t>Итого по Октябрьское</t>
  </si>
  <si>
    <t>Итого по город Вязники</t>
  </si>
  <si>
    <t>Итого по город Гороховец</t>
  </si>
  <si>
    <t>Итого по Куприяновское</t>
  </si>
  <si>
    <t>Итого по Денисовское</t>
  </si>
  <si>
    <t>Итого по поселок Анопино</t>
  </si>
  <si>
    <t>Итого по город Камешково</t>
  </si>
  <si>
    <t>Итого по Вахромеевское</t>
  </si>
  <si>
    <t>Итого по Сергеихинское</t>
  </si>
  <si>
    <t>Итого по город Киржач</t>
  </si>
  <si>
    <t>Итого по Филипповское</t>
  </si>
  <si>
    <t>Итого по Першинское</t>
  </si>
  <si>
    <t>Итого по поселок Мелехово</t>
  </si>
  <si>
    <t>Итого по Малыгинское</t>
  </si>
  <si>
    <t>Итого по Новосельское</t>
  </si>
  <si>
    <t>Итого по Клязьминское</t>
  </si>
  <si>
    <t>Итого по город Кольчугино</t>
  </si>
  <si>
    <t>Итого по Раздольевское</t>
  </si>
  <si>
    <t>Итого по город Меленки</t>
  </si>
  <si>
    <t>Итого по Нагорное</t>
  </si>
  <si>
    <t>Итого по поселок Вольгинский</t>
  </si>
  <si>
    <t>Итого по город Покров</t>
  </si>
  <si>
    <t>Итого по город Костерево</t>
  </si>
  <si>
    <t>Итого по поселок Городищи</t>
  </si>
  <si>
    <t>Итого по город Петушки</t>
  </si>
  <si>
    <t>Итого по поселок Красная Горбатка</t>
  </si>
  <si>
    <t>Итого по Малышевское</t>
  </si>
  <si>
    <t>Итого по Воршинское</t>
  </si>
  <si>
    <t>Итого по Черкутинское</t>
  </si>
  <si>
    <t>Итого по поселок Ставрово</t>
  </si>
  <si>
    <t>Итого по город Лакинск</t>
  </si>
  <si>
    <t>Итого по город Собинка</t>
  </si>
  <si>
    <t>Итого по город Судогда</t>
  </si>
  <si>
    <t>Итого по Головинское</t>
  </si>
  <si>
    <t>Итого по Мошокское</t>
  </si>
  <si>
    <t>Итого по Муромцевское</t>
  </si>
  <si>
    <t>Итого по город Суздаль</t>
  </si>
  <si>
    <t>Итого по Боголюбовское</t>
  </si>
  <si>
    <t>Итого по Новоалександровское</t>
  </si>
  <si>
    <t>Итого по Селецкое</t>
  </si>
  <si>
    <t>Итого по город Юрьев-Польский</t>
  </si>
  <si>
    <t>Итого по Небыловское</t>
  </si>
  <si>
    <t>Итого по Симское</t>
  </si>
  <si>
    <t>Итого по Красносельское</t>
  </si>
  <si>
    <t>Итого по поселок Мстера</t>
  </si>
  <si>
    <t>Итого по Фоминское</t>
  </si>
  <si>
    <t>Итого по поселок Добрятино</t>
  </si>
  <si>
    <t>Итого по поселок Великодворский</t>
  </si>
  <si>
    <t>Итого по Брызгаловское</t>
  </si>
  <si>
    <t>Итого по Ивановское</t>
  </si>
  <si>
    <t>Итого по Бавленское</t>
  </si>
  <si>
    <t>Итого по Ильинское</t>
  </si>
  <si>
    <t>Итого по Ляховское</t>
  </si>
  <si>
    <t>Итого по Дмитриевогорское</t>
  </si>
  <si>
    <t>Итого по Петушинское</t>
  </si>
  <si>
    <t>Итого по Куриловское</t>
  </si>
  <si>
    <t>Итого по Толпуховское</t>
  </si>
  <si>
    <t>Итого по Вяткинское</t>
  </si>
  <si>
    <t>Итого по Павловское</t>
  </si>
  <si>
    <t>Итого по Андреевское</t>
  </si>
  <si>
    <t>Итого по Лакинск</t>
  </si>
  <si>
    <t>Итого по Копнинское</t>
  </si>
  <si>
    <t>Итого по Пекшинское</t>
  </si>
  <si>
    <t>Итого по поселок Мстёра</t>
  </si>
  <si>
    <t>Итого по город Курлово</t>
  </si>
  <si>
    <t>Итого по поселок Иванищи</t>
  </si>
  <si>
    <t>Итого по Пенкинское</t>
  </si>
  <si>
    <t>Итого по Флорищинское</t>
  </si>
  <si>
    <t>Итого по Ковардицкое</t>
  </si>
  <si>
    <t>X</t>
  </si>
  <si>
    <t>Итого по Кипревское</t>
  </si>
  <si>
    <t xml:space="preserve">город Гусь-Хрустальный  </t>
  </si>
  <si>
    <t xml:space="preserve">округ Муром  </t>
  </si>
  <si>
    <t xml:space="preserve">город Ковров </t>
  </si>
  <si>
    <t xml:space="preserve">ЗАТО город Радужный  </t>
  </si>
  <si>
    <t>город Александров</t>
  </si>
  <si>
    <t>поселок Балакирево</t>
  </si>
  <si>
    <t>город Карабаново</t>
  </si>
  <si>
    <t>город Струнино</t>
  </si>
  <si>
    <t>поселок Никологоры</t>
  </si>
  <si>
    <t>Степанцевское</t>
  </si>
  <si>
    <t>Паустовское</t>
  </si>
  <si>
    <t>поселок Мстёра</t>
  </si>
  <si>
    <t>Октябрьское</t>
  </si>
  <si>
    <t>город Вязники</t>
  </si>
  <si>
    <t>город Гороховец</t>
  </si>
  <si>
    <t>Куприяновское</t>
  </si>
  <si>
    <t>Денисовское</t>
  </si>
  <si>
    <t>город Курлово</t>
  </si>
  <si>
    <t>поселок Иванищи</t>
  </si>
  <si>
    <t>город Камешково</t>
  </si>
  <si>
    <t>Брызгаловское</t>
  </si>
  <si>
    <t>Сергеихинское</t>
  </si>
  <si>
    <t>Пенкинское</t>
  </si>
  <si>
    <t>город Киржач</t>
  </si>
  <si>
    <t>Клязьминское</t>
  </si>
  <si>
    <t>поселок Мелехово</t>
  </si>
  <si>
    <t>Малыгинское</t>
  </si>
  <si>
    <t>Новосельское</t>
  </si>
  <si>
    <t>город Кольчугино</t>
  </si>
  <si>
    <t>Раздольевское</t>
  </si>
  <si>
    <t>Флорищинское</t>
  </si>
  <si>
    <t>город Меленки</t>
  </si>
  <si>
    <t>Дмитриевогорское</t>
  </si>
  <si>
    <t>Ковардицкое</t>
  </si>
  <si>
    <t>Нагорное</t>
  </si>
  <si>
    <t>город Покров</t>
  </si>
  <si>
    <t>город Костерево</t>
  </si>
  <si>
    <t>поселок Городищи</t>
  </si>
  <si>
    <t>Пекшинское</t>
  </si>
  <si>
    <t>город Петушки</t>
  </si>
  <si>
    <t>поселок Вольгинский</t>
  </si>
  <si>
    <t>поселок Красная Горбатка</t>
  </si>
  <si>
    <t>Копнинское</t>
  </si>
  <si>
    <t>Толпуховское</t>
  </si>
  <si>
    <t>поселок Ставрово</t>
  </si>
  <si>
    <t>Лакинск</t>
  </si>
  <si>
    <t>город Собинка</t>
  </si>
  <si>
    <t>город Судогда</t>
  </si>
  <si>
    <t>Андреевское</t>
  </si>
  <si>
    <t>Головинское</t>
  </si>
  <si>
    <t>Мошокское</t>
  </si>
  <si>
    <t>город Суздаль</t>
  </si>
  <si>
    <t>Боголюбовское</t>
  </si>
  <si>
    <t>Селецкое</t>
  </si>
  <si>
    <t>Павловское</t>
  </si>
  <si>
    <t>город Юрьев-Польский</t>
  </si>
  <si>
    <t>Небыловское</t>
  </si>
  <si>
    <t>город Ковров</t>
  </si>
  <si>
    <t>поселок Мстера</t>
  </si>
  <si>
    <t>Фоминское</t>
  </si>
  <si>
    <t>поселок Добрятино</t>
  </si>
  <si>
    <t>поселок Великодворский</t>
  </si>
  <si>
    <t>Вахромеевское</t>
  </si>
  <si>
    <t>Ивановское</t>
  </si>
  <si>
    <t>Бавленское</t>
  </si>
  <si>
    <t>Ильинское</t>
  </si>
  <si>
    <t>Ляховское</t>
  </si>
  <si>
    <t>Петушинское</t>
  </si>
  <si>
    <t>Воршинское</t>
  </si>
  <si>
    <t>Куриловское</t>
  </si>
  <si>
    <t>город Лакинск</t>
  </si>
  <si>
    <t>Вяткинское</t>
  </si>
  <si>
    <t>Муромцевское</t>
  </si>
  <si>
    <t>Новоалександровское</t>
  </si>
  <si>
    <t>Красносельское</t>
  </si>
  <si>
    <t>поселок Анопино</t>
  </si>
  <si>
    <t>Филипповское</t>
  </si>
  <si>
    <t>Кипревское</t>
  </si>
  <si>
    <t>Першинское</t>
  </si>
  <si>
    <t>Малышевское</t>
  </si>
  <si>
    <t>Черкутинское</t>
  </si>
  <si>
    <t>Симское</t>
  </si>
  <si>
    <t>Таблица №1</t>
  </si>
  <si>
    <t>к сводному краткосрочному плану реализации
 региональной программы капитального ремонта общего
 имущества в многоквартирных домах на 2020-2022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</si>
  <si>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2020 - 2022 годы</t>
  </si>
  <si>
    <t>Приложение</t>
  </si>
  <si>
    <t xml:space="preserve">к постановлению департамента жилищно-коммунального хозяйства администрации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</si>
  <si>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</si>
  <si>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</si>
  <si>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</si>
  <si>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 xml:space="preserve">* </t>
  </si>
  <si>
    <t>**</t>
  </si>
  <si>
    <t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к сводному краткосрочному плану</t>
  </si>
  <si>
    <t>на территории Владимирской области на 2020 - 2022 годы *  **</t>
  </si>
  <si>
    <t>виды, установленные ч.1 ст.166 Жилищного Кодекса РФ</t>
  </si>
  <si>
    <t xml:space="preserve">город Владимир  </t>
  </si>
  <si>
    <t>ООО "ЖЭЦ-Управление" </t>
  </si>
  <si>
    <t>ООО "ОДК" </t>
  </si>
  <si>
    <t>ООО "Универсалстрой"</t>
  </si>
  <si>
    <t>ООО УК "Старый город"</t>
  </si>
  <si>
    <t>ООО "Фортуна"</t>
  </si>
  <si>
    <t>ООО "НУК"</t>
  </si>
  <si>
    <t>ООО "Содружество-С"</t>
  </si>
  <si>
    <t xml:space="preserve">ООО УК "Теплый дом" </t>
  </si>
  <si>
    <t>ООО "Комстройсервис"</t>
  </si>
  <si>
    <t>ООО "Жилищник" г.Суздаль</t>
  </si>
  <si>
    <t>ООО УК "Влад-комстрой"</t>
  </si>
  <si>
    <t>ООО "Оникс"</t>
  </si>
  <si>
    <t>ООО "ЖЭК "Никологоры"</t>
  </si>
  <si>
    <t>ООО "Лидер"</t>
  </si>
  <si>
    <t>ООО "Плес+"</t>
  </si>
  <si>
    <t>Количество жителей, зарегистрированных в МКД на          дату утверждения краткосрочного плана</t>
  </si>
  <si>
    <t>в том числе жилых           помещений, находящихся в собственности граждан</t>
  </si>
  <si>
    <t>Способ формирования фонда         капитального ремонта (РО - счет регионального оператора, СС -          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</si>
  <si>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</si>
  <si>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за счет средств         собственников помещений в МКД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</si>
  <si>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2020 - 2022 годы определены таблицей №1 к сводному краткосрочному плану</t>
  </si>
  <si>
    <t xml:space="preserve"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  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</si>
  <si>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</si>
  <si>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</si>
  <si>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</si>
  <si>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</si>
  <si>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</si>
  <si>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</si>
  <si>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</si>
  <si>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</si>
  <si>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имеющие полноту собираемости взносов на капитальный ремонт в объеме 100 % и выше от сумм начисленных взносов на капитальный ремонт</t>
  </si>
  <si>
    <t xml:space="preserve">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 * **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</si>
  <si>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год за счет средств регионального оператора определены таблицей №1</t>
  </si>
  <si>
    <t>Александров г, Лермонтова ул, 13</t>
  </si>
  <si>
    <t>Владимир г, Дворянская ул, 15</t>
  </si>
  <si>
    <t>Владимир г, Алябьева ул, 17А</t>
  </si>
  <si>
    <t>Владимир г, Алябьева ул, 9</t>
  </si>
  <si>
    <t>Гороховец г, Краснова ул, 8</t>
  </si>
  <si>
    <t>Гусь-Хрустальный г, Орловская ул, 24</t>
  </si>
  <si>
    <t>Гусь-Хрустальный г, Заводской пер, 8</t>
  </si>
  <si>
    <t>Киржач г, Гастелло ул, 1</t>
  </si>
  <si>
    <t>Ковров г, Грибоедова ул, 70</t>
  </si>
  <si>
    <t>Кольчугино г, Ким ул, 18</t>
  </si>
  <si>
    <t>Меленки г, Коминтерна ул, 104</t>
  </si>
  <si>
    <t>Муром г, Воровского ул, 99</t>
  </si>
  <si>
    <t>Муром г, Воровского ул, 16А</t>
  </si>
  <si>
    <t>Муром г, Экземплярского ул, 13А</t>
  </si>
  <si>
    <t>Собинский р-н, Ставрово п, Октябрьская ул, 109</t>
  </si>
  <si>
    <t>Суздальский р-н, Боголюбово п, Западная ул, 7</t>
  </si>
  <si>
    <t>Владимир г, Ново-Ямской пер, 6б</t>
  </si>
  <si>
    <t>Судогодский р-н, Муромцево п, Октябрьская ул, 13</t>
  </si>
  <si>
    <t>Собинский р-н, Асерхово п, Железнодорожная ул, 5</t>
  </si>
  <si>
    <t>2019-2021</t>
  </si>
  <si>
    <t>2017-2019</t>
  </si>
  <si>
    <t>2018-2020</t>
  </si>
  <si>
    <t>2020-2022</t>
  </si>
  <si>
    <t>2022-2024</t>
  </si>
  <si>
    <t>2021-2023</t>
  </si>
  <si>
    <t>2025-2027</t>
  </si>
  <si>
    <t>Киржач г, Красный Октябрь мкр, Фурманова ул, 22</t>
  </si>
  <si>
    <t>Итого по город Владимир</t>
  </si>
  <si>
    <t>Итого по город Гусь-Хрустальный</t>
  </si>
  <si>
    <t>Итого по город Муром</t>
  </si>
  <si>
    <t>Итого по Асерховское</t>
  </si>
  <si>
    <t>Итого по субъекту:</t>
  </si>
  <si>
    <t xml:space="preserve">Таблица № 1 </t>
  </si>
  <si>
    <t>к сводному краткосрочному плану реализации за счет средств регионального оператора</t>
  </si>
  <si>
    <t>Адрес многоквартирного дома (далее - МКД)</t>
  </si>
  <si>
    <t>Количество жителей, зарегистрированных в МКД на дату утверждения краткосрочного плана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</si>
  <si>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</si>
  <si>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в том числе жилых помещений, находящихся в собственности граждан</t>
  </si>
  <si>
    <t>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</t>
  </si>
  <si>
    <t>ТСН "Дворянская-15"</t>
  </si>
  <si>
    <t>ООО "ЖРЭП №8"</t>
  </si>
  <si>
    <t>МУП города Владимиру "ГУК"</t>
  </si>
  <si>
    <t>"Березка"</t>
  </si>
  <si>
    <t>Таблица № 2</t>
  </si>
  <si>
    <t>Планируемое количество многоквартирных домов, подлежащих капитальному ремонту и объем средств, необходимый для реализации мероприятий краткосрочного плана</t>
  </si>
  <si>
    <t>Количество
жителей,
зарегистрированных в МКД
на дату
утверждения
программы</t>
  </si>
  <si>
    <t>Итого по программе</t>
  </si>
  <si>
    <t>Владимир г, Алябьева ул, 25</t>
  </si>
  <si>
    <t>Владимир г, Строителей ул, 10</t>
  </si>
  <si>
    <t>Владимир г, Асаткина ул, 27</t>
  </si>
  <si>
    <t>Владимир г, Диктора Левитана ул, 49</t>
  </si>
  <si>
    <t>Вязники г, Металлистов ул, 23а</t>
  </si>
  <si>
    <t>Суздаль г, Гоголя ул, 45</t>
  </si>
  <si>
    <t>ООО"ЖЭК№3"</t>
  </si>
  <si>
    <t>ООО "Жилищник" </t>
  </si>
  <si>
    <t>ООО «ЖРЭП № 8»</t>
  </si>
  <si>
    <t>ООО «Жилищник»</t>
  </si>
  <si>
    <t>ООО УК «ЛЮКС»</t>
  </si>
  <si>
    <t>Ковров г, Пугачева ул, 29</t>
  </si>
  <si>
    <t>Ковров г, Ковров-8 тер, 8 </t>
  </si>
  <si>
    <t>ООО "Жилищник-Центр" </t>
  </si>
  <si>
    <t>Владимир г, Березина ул, 3</t>
  </si>
  <si>
    <t>Суздальский р-н, Новое с, Молодежная ул, 1</t>
  </si>
  <si>
    <t>ООО "УК СОДРУЖЕСТВО"</t>
  </si>
  <si>
    <t>ТСН "СОГЛАСИЕ 108"</t>
  </si>
  <si>
    <t>ООО "УК"Меленковского района"</t>
  </si>
  <si>
    <t>ООО "ЖКХ"УЮТ"</t>
  </si>
  <si>
    <t>ООО "ЖЭК №4"</t>
  </si>
  <si>
    <t>Владимир г, Кирова ул, 1А</t>
  </si>
  <si>
    <t>Владимир г, Чапаева ул, 6</t>
  </si>
  <si>
    <t>Владимир г, Разина ул, 33</t>
  </si>
  <si>
    <t>ООО  «УК ЛЮКС»</t>
  </si>
  <si>
    <t xml:space="preserve">Итого по город Владимир  </t>
  </si>
  <si>
    <t>Юрьев-Польский р-н, Небылое с, Луговая ул, 1</t>
  </si>
  <si>
    <t>Александров г, Гагарина ул, 1</t>
  </si>
  <si>
    <t>Александровский р-н, Балакирево пгт, Радужный кв-л, 2</t>
  </si>
  <si>
    <t>Владимир г, Безыменского ул, 14</t>
  </si>
  <si>
    <t>Владимир г, Большая Нижегородская ул, 34</t>
  </si>
  <si>
    <t>Владимир г, Большая Нижегородская ул, 32</t>
  </si>
  <si>
    <t>Владимир г, Диктора Левитана ул, 1А</t>
  </si>
  <si>
    <t>Владимир г, Казарменная ул, 9</t>
  </si>
  <si>
    <t>Владимир г, Кирова ул, 9</t>
  </si>
  <si>
    <t>Владимир г, Комиссарова ул, 35а</t>
  </si>
  <si>
    <t>Владимир г, Красноармейская ул, 32</t>
  </si>
  <si>
    <t>Владимир г, Красноармейская ул, 43</t>
  </si>
  <si>
    <t>Владимир г, Лакина ул, 145</t>
  </si>
  <si>
    <t>Владимир г, Лакина ул, 157А</t>
  </si>
  <si>
    <t>Владимир г, Луначарского ул, 27</t>
  </si>
  <si>
    <t>Владимир г, Модорова ул, 6</t>
  </si>
  <si>
    <t>Владимир г, Октябрьский военный городок, 23</t>
  </si>
  <si>
    <t>Владимир г, Рабочая ул, 13</t>
  </si>
  <si>
    <t>Владимир г, Строителей пр-кт, 17</t>
  </si>
  <si>
    <t>Владимир г, Строителей пр-кт, 32</t>
  </si>
  <si>
    <t>Владимир г, Строителей пр-кт, 36</t>
  </si>
  <si>
    <t>Владимир г, Строителей пр-кт, 40</t>
  </si>
  <si>
    <t>Владимир г, Соколова-Соколенка ул, 22</t>
  </si>
  <si>
    <t>Владимир г, Суздальский пр-кт, 25</t>
  </si>
  <si>
    <t>Владимир г, Труда ул, 10/20</t>
  </si>
  <si>
    <t>Владимир г, Электроприборовский проезд, 7</t>
  </si>
  <si>
    <t>Владимир г, Гагарина ул, 10</t>
  </si>
  <si>
    <t>Владимир г, 1-я Пионерская ул, 59</t>
  </si>
  <si>
    <t>Владимир г, Чайковского ул, 19/1</t>
  </si>
  <si>
    <t>Владимир г, Комиссарова ул, 12а</t>
  </si>
  <si>
    <t>Владимир г, Мира ул, 26</t>
  </si>
  <si>
    <t>Владимир г, 1-я Пионерская ул, 67</t>
  </si>
  <si>
    <t>Владимир г, Горького ул, 61</t>
  </si>
  <si>
    <t>Владимир г, Горького ул, 72</t>
  </si>
  <si>
    <t>Владимир г, Ильича ул, 7б</t>
  </si>
  <si>
    <t>Владимир г, Ильича ул, 13</t>
  </si>
  <si>
    <t>Владимир г, Северная ул, 15</t>
  </si>
  <si>
    <t>Владимир г, Труда ул, 14А</t>
  </si>
  <si>
    <t>Владимир г, Энергетик мкр, Энергетиков ул, 2Б</t>
  </si>
  <si>
    <t>Владимир г, Чайковского ул, 38В</t>
  </si>
  <si>
    <t>Владимир г, Добросельская ул, 161</t>
  </si>
  <si>
    <t>Владимир г, Баумана ул, 4</t>
  </si>
  <si>
    <t>Владимир г, Даргомыжского ул, 20</t>
  </si>
  <si>
    <t>Владимир г, Электроприборовский проезд, 4</t>
  </si>
  <si>
    <t>Владимир г, Большая Нижегородская ул, 99а</t>
  </si>
  <si>
    <t>Гусь-Хрустальный г, Муравьева-Апостола ул, 10</t>
  </si>
  <si>
    <t>Гусь-Хрустальный г, 2-я Народная ул, 2</t>
  </si>
  <si>
    <t>Гусь-Хрустальный г, Луначарского ул, 7</t>
  </si>
  <si>
    <t>Гусь-Хрустальный г, Осьмова ул, 7</t>
  </si>
  <si>
    <t>Гусь-Хрустальный г, Осьмова ул, 8</t>
  </si>
  <si>
    <t>Гусь-Хрустальный г, Плеханова ул, 1</t>
  </si>
  <si>
    <t>Гусь-Хрустальный г, 50 лет Советской Власти пр-кт, 25</t>
  </si>
  <si>
    <t>Гусь-Хрустальный г, Гусевский п, Мира ул, 11</t>
  </si>
  <si>
    <t>Гусь-Хрустальный г, Революции ул, 17/7</t>
  </si>
  <si>
    <t>Гусь-Хрустальный г, Рудницкой ул, 13</t>
  </si>
  <si>
    <t>Гусь-Хрустальный г, Транспортная ул, 13</t>
  </si>
  <si>
    <t>Гусь-Хрустальный г, Красных Партизан ул, 72/29</t>
  </si>
  <si>
    <t>Гусь-Хрустальный г, Ломоносова ул, 2а/8а</t>
  </si>
  <si>
    <t>Гусь-Хрустальный г, Теплицкий пр-кт, 4</t>
  </si>
  <si>
    <t>Гусь-Хрустальный г, Гусевский п, Интернациональная ул, 10</t>
  </si>
  <si>
    <t>Муром г, Войкова ул, 9</t>
  </si>
  <si>
    <t>Муром г, Карла Маркса ул, 36</t>
  </si>
  <si>
    <t>Муром г, Ленина ул, 2</t>
  </si>
  <si>
    <t>Муром г, Меленковская ул, 9</t>
  </si>
  <si>
    <t>Муромский р-н, Механизаторов п, 52</t>
  </si>
  <si>
    <t>Муром г, Радиозаводское ш, 38А</t>
  </si>
  <si>
    <t>Муром г, Трудовая ул, 37</t>
  </si>
  <si>
    <t>Муром г, Артема ул, 1а</t>
  </si>
  <si>
    <t>Муром г, Заводская ул, 1</t>
  </si>
  <si>
    <t>Муром г, Куликова ул, 23</t>
  </si>
  <si>
    <t>Муромский р-н, Фабрики им П.Л.Войкова п, 23</t>
  </si>
  <si>
    <t>Муром г, Ковровская ул, 16</t>
  </si>
  <si>
    <t>Муром г, Пушкина ул, 1а</t>
  </si>
  <si>
    <t>Муром г, Ленина ул, 110</t>
  </si>
  <si>
    <t>Ковров г, 19 Партсъезда ул, 3</t>
  </si>
  <si>
    <t>Ковров г, Ковров-8 тер, 3</t>
  </si>
  <si>
    <t>Ковров г, Первомайская ул, 21</t>
  </si>
  <si>
    <t>Ковров г, Ковров-8 тер, 9</t>
  </si>
  <si>
    <t>Ковров г, Абельмана ул, 22</t>
  </si>
  <si>
    <t>Ковров г, Еловая ул, 86</t>
  </si>
  <si>
    <t>Ковров г, Кузнечная ул, 6А</t>
  </si>
  <si>
    <t>Ковров г, Пугачева ул, 35</t>
  </si>
  <si>
    <t>Ковров г, Волго-Донская ул, 6</t>
  </si>
  <si>
    <t>Ковров г, Туманова ул, 4</t>
  </si>
  <si>
    <t>Ковров г, Еловая ул, 82/1</t>
  </si>
  <si>
    <t>Радужный г, 1-й кв-л, 17</t>
  </si>
  <si>
    <t>Радужный г, 9-й кв-л, 8</t>
  </si>
  <si>
    <t>Александров г, Горького ул, 3</t>
  </si>
  <si>
    <t>Александров г, Лермонтова ул, 9</t>
  </si>
  <si>
    <t>Александров г, Ленина ул, 26</t>
  </si>
  <si>
    <t>Александров г, Стрелецкая Набережная ул, 1</t>
  </si>
  <si>
    <t>Александров г, Ческа-Липа ул, 2</t>
  </si>
  <si>
    <t>Александровский р-н, Карабаново г, Карпова ул, 3</t>
  </si>
  <si>
    <t>Александровский р-н, Лисавы д, Центральная ул, 2</t>
  </si>
  <si>
    <t>Александровский р-н, Струнино г, Дзержинского ул, 9</t>
  </si>
  <si>
    <t>Александров г, Кубасова ул, 5</t>
  </si>
  <si>
    <t>Александров г, Фабрика Калинина ул, 24</t>
  </si>
  <si>
    <t>Александров г, Революции ул, 77</t>
  </si>
  <si>
    <t>Александров г, Ленина ул, 30</t>
  </si>
  <si>
    <t>Александров г, Революции ул, 40</t>
  </si>
  <si>
    <t>Александров г, Институтская ул, 12</t>
  </si>
  <si>
    <t>Александров г, Терешковой ул, 10</t>
  </si>
  <si>
    <t>Александров г, Совхоз Правда ул, 32</t>
  </si>
  <si>
    <t>Александровский р-н, Балакирево пгт, Юго-Западный кв-л, 6</t>
  </si>
  <si>
    <t>Александровский р-н, Балакирево пгт, Вокзальная ул, 13</t>
  </si>
  <si>
    <t>Александровский р-н, Балакирево пгт, 60 лет Октября ул, 2</t>
  </si>
  <si>
    <t>Александровский р-н, Балакирево пгт, Юго-Западный кв-л, 8</t>
  </si>
  <si>
    <t>Александровский р-н, Карабаново г, Садовая ул, 6</t>
  </si>
  <si>
    <t>Александровский р-н, Струнино г, Дубки кв-л, 6</t>
  </si>
  <si>
    <t>Вязники г, Мошина ул, 28</t>
  </si>
  <si>
    <t>Вязники г, Сергиевских ул, 19/9</t>
  </si>
  <si>
    <t>Вязниковский р-н, Степанцево п, Ленина ул, 5</t>
  </si>
  <si>
    <t>Вязниковский р-н, Степанцево п, Ленина ул, 6</t>
  </si>
  <si>
    <t>Вязниковский р-н, Степанцево п, Ленина ул, 13</t>
  </si>
  <si>
    <t>Вязниковский р-н, Эдон д, Советская ул, 28</t>
  </si>
  <si>
    <t>Вязники г, С.Лазо ул, 2</t>
  </si>
  <si>
    <t>Вязники г, Благовещенская ул, 42</t>
  </si>
  <si>
    <t>Вязники г, Ленина ул, 24</t>
  </si>
  <si>
    <t>Вязники г, Владимирская ул, 12/15</t>
  </si>
  <si>
    <t>Вязниковский р-н, Октябрьская д, Садовая ул, 1</t>
  </si>
  <si>
    <t>Вязниковский р-н, Паустово д, Текстильщиков ул, 15</t>
  </si>
  <si>
    <t>Гороховец г, Кирова ул, 5</t>
  </si>
  <si>
    <t>Гороховец г, Лермонтова ул, 4</t>
  </si>
  <si>
    <t>Гороховец г, Мира ул, 13</t>
  </si>
  <si>
    <t>Гороховец г, Кирова ул, 11</t>
  </si>
  <si>
    <t>Гороховец г, Льва Толстого ул, 46</t>
  </si>
  <si>
    <t>Гороховец г, Ленина ул, 29</t>
  </si>
  <si>
    <t>Гороховецкий р-н, Васильчиково д, 22</t>
  </si>
  <si>
    <t>Гороховецкий р-н, Пролетарский п, Новофабричная ул, 22</t>
  </si>
  <si>
    <t>Гороховецкий р-н, Арефино д, Совхозная ул, 1</t>
  </si>
  <si>
    <t>Камешково г, Молодежная ул, 11</t>
  </si>
  <si>
    <t>Камешковский р-н, им Максима Горького п, Морозова ул, 6</t>
  </si>
  <si>
    <t>Киржач г, Красный Октябрь мкр, Южный кв-л, 1</t>
  </si>
  <si>
    <t>Киржач г, Красный Октябрь мкр, Южный кв-л, 4</t>
  </si>
  <si>
    <t>Киржач г, Прибрежный кв-л, 3</t>
  </si>
  <si>
    <t>Киржач г, Привокзальная ул, 3</t>
  </si>
  <si>
    <t>Киржач г, Красный Октябрь мкр, Метленкова ул, 4</t>
  </si>
  <si>
    <t>Киржач г, Прибрежный кв-л, 4</t>
  </si>
  <si>
    <t>Киржачский р-н, Участок Мележи нп, ДРП-1 тер, 4</t>
  </si>
  <si>
    <t>Ковровский р-н, Новый п, Лесная ул, 3</t>
  </si>
  <si>
    <t>Ковровский р-н, Новый п, Школьная ул, 5</t>
  </si>
  <si>
    <t>Ковровский р-н, Малыгино п, Школьная ул, 60</t>
  </si>
  <si>
    <t>Ковровский р-н, Красный Октябрь п, Комсомольская ул, 1</t>
  </si>
  <si>
    <t>Кольчугино г, 3 Интернационала ул, 64</t>
  </si>
  <si>
    <t>Кольчугино г, Коллективная ул, 35</t>
  </si>
  <si>
    <t>Кольчугино г, Щорса ул, 18</t>
  </si>
  <si>
    <t>Кольчугинский р-н, Бавлены п, Центральная ул, 8</t>
  </si>
  <si>
    <t>Меленки г, Красноармейская ул, 92</t>
  </si>
  <si>
    <t>Меленки г, Школьный пер, 4</t>
  </si>
  <si>
    <t>Меленки г, Коммунистическая ул, 28</t>
  </si>
  <si>
    <t>Петушинский р-н, Покров г, 3 Интернационала ул, 52а</t>
  </si>
  <si>
    <t>Петушинский р-н, Покров г, 3 Интернационала ул, 76</t>
  </si>
  <si>
    <t>Петушинский р-н, Покров г, Первомайская ул, 1</t>
  </si>
  <si>
    <t>Петушинский р-н, Покров г, Герасимова ул, 17</t>
  </si>
  <si>
    <t>Петушинский р-н, Покров г, Школьный проезд, 4А</t>
  </si>
  <si>
    <t>Петушки г, Прудная ул, 21</t>
  </si>
  <si>
    <t>Петушки г, Строителей ул, 4</t>
  </si>
  <si>
    <t>Петушки г, Московская ул, 21</t>
  </si>
  <si>
    <t>Петушки г, Вокзальная ул, 58</t>
  </si>
  <si>
    <t>Петушки г, Коммунальная ул, 1</t>
  </si>
  <si>
    <t>Петушинский р-н, Костерево г, им Горького ул, 14</t>
  </si>
  <si>
    <t>Петушинский р-н, Костерево г, Ленина ул, 7</t>
  </si>
  <si>
    <t>Петушинский р-н, Вольгинский п, Новосеменковская ул, 12</t>
  </si>
  <si>
    <t>Петушинский р-н, Воспушка д, Ленина ул, 2</t>
  </si>
  <si>
    <t>Собинский р-н, Лакинск г, 21 Партсъезда ул, 5</t>
  </si>
  <si>
    <t>Собинский р-н, Лакинск г, 21 Партсъезда ул, 9</t>
  </si>
  <si>
    <t>Собинский р-н, Лакинск г, Набережная ул, 5</t>
  </si>
  <si>
    <t>Итого по Колокшанское</t>
  </si>
  <si>
    <t>Собинский р-н, Колокша п, Центральная ул, 2</t>
  </si>
  <si>
    <t>Собинка г, Красная Звезда ул, 4</t>
  </si>
  <si>
    <t>Собинка г, Гагарина ул, 5</t>
  </si>
  <si>
    <t>Собинка г, Рабочий пр-кт, 17</t>
  </si>
  <si>
    <t>Собинский р-н, Ставрово п, Советская ул, 43</t>
  </si>
  <si>
    <t>Собинский р-н, Ставрово п, Ленина ул, 12</t>
  </si>
  <si>
    <t>Судогда г, Красная ул, 20</t>
  </si>
  <si>
    <t>Судогда г, Ленина ул, 54в</t>
  </si>
  <si>
    <t>Судогда г, Гагарина ул, 19</t>
  </si>
  <si>
    <t xml:space="preserve">Итого по Вяткинское </t>
  </si>
  <si>
    <t>Судогодский р-н, Гридино д, Молодежная ул, 10</t>
  </si>
  <si>
    <t>Суздаль г, Калинина ул, 3</t>
  </si>
  <si>
    <t>Суздаль г, Калинина ул, 1</t>
  </si>
  <si>
    <t>Суздаль г, Лоунская ул, 3</t>
  </si>
  <si>
    <t>Суздаль г, Лоунская ул, 5</t>
  </si>
  <si>
    <t>Юрьев-Польский г, Шибанкова ул, 142а</t>
  </si>
  <si>
    <t>Юрьев-Польский г, Чехова ул, 7А</t>
  </si>
  <si>
    <t>Юрьев-Польский г, Шибанкова ул, 8</t>
  </si>
  <si>
    <t>Юрьев-Польский г, Луговая ул, 41</t>
  </si>
  <si>
    <t>Юрьев-Польский р-н, Небылое с, Школьная ул, 9</t>
  </si>
  <si>
    <t>Итого по Краснопламенское</t>
  </si>
  <si>
    <t>Ковров г, Абельмана ул, 4</t>
  </si>
  <si>
    <t>Муром г, Первомайская ул, 101</t>
  </si>
  <si>
    <t xml:space="preserve">Итого по Денисовское </t>
  </si>
  <si>
    <t>Гороховецкий р-н, Чулково п, Парковая ул, 1</t>
  </si>
  <si>
    <t>Собинка г, Лакина ул, 9</t>
  </si>
  <si>
    <t>Собинский р-н, Лакинск г, Ленина пр-кт, 67</t>
  </si>
  <si>
    <t>Собинский р-н, Лакинск г, Советская ул, 63</t>
  </si>
  <si>
    <t>Гусь-Хрустальный г, 50 лет Советской Власти пр-кт, 43</t>
  </si>
  <si>
    <t>Гусь-Хрустальный г, Гусевский п, Пионерская ул, 15</t>
  </si>
  <si>
    <t>Гусь-Хрустальный г, Гусевский п, Октябрьская ул, 7</t>
  </si>
  <si>
    <t>Юрьев-Польский р-н, Сима с, Луговая ул, 3</t>
  </si>
  <si>
    <t>Юрьев-Польский р-н, Сима с, Луговая ул, 4</t>
  </si>
  <si>
    <t>Итого по Новлянское</t>
  </si>
  <si>
    <t>Селивановский р-н, Новлянка п, Молодежная ул, 4</t>
  </si>
  <si>
    <t>Муром г, Льва Толстого ул, 107</t>
  </si>
  <si>
    <t>Муром г, Куликова ул, 15</t>
  </si>
  <si>
    <t>Муром г, Кирова ул, 18</t>
  </si>
  <si>
    <t>Муром г, Лакина ул, 89</t>
  </si>
  <si>
    <t>Муром г, Кожевники ул, 11</t>
  </si>
  <si>
    <t>Собинский р-н, Ставрово п, Советская ул, 92А</t>
  </si>
  <si>
    <t>ООО "АТ плюс"</t>
  </si>
  <si>
    <t>ООО "УК "Жилсервис"</t>
  </si>
  <si>
    <t>ООО  "Управляющая компания №1"</t>
  </si>
  <si>
    <t>ООО "МКД - Сервис"</t>
  </si>
  <si>
    <t>МУП "АЭЛИТА"</t>
  </si>
  <si>
    <t>МУП "РСУ" г.Петушки</t>
  </si>
  <si>
    <t>ООО "Эксперт"</t>
  </si>
  <si>
    <t>МУП г Кольчугино Коммунальник</t>
  </si>
  <si>
    <t>ООО "КОМФОРТ"</t>
  </si>
  <si>
    <t>ООО "ЖЭК №2"</t>
  </si>
  <si>
    <t>ООО"УК"Наш Дом"</t>
  </si>
  <si>
    <t xml:space="preserve">ООО"УК"Наш Дом" </t>
  </si>
  <si>
    <t>ИП Деркач В. Н. </t>
  </si>
  <si>
    <t>МУП "Коммунальщик"</t>
  </si>
  <si>
    <t xml:space="preserve">Блочные </t>
  </si>
  <si>
    <t>2001</t>
  </si>
  <si>
    <t>ООО РСК</t>
  </si>
  <si>
    <t>ООО "УК Содружество"</t>
  </si>
  <si>
    <t>ООО "ПОТЕНЦИАЛ"</t>
  </si>
  <si>
    <t>ООО"Жилтрест"</t>
  </si>
  <si>
    <t>ООО "УК СОДРУЖЕСТВО С"</t>
  </si>
  <si>
    <t>МКП Владимир ЖКХ</t>
  </si>
  <si>
    <t>Монолитные</t>
  </si>
  <si>
    <t>ООО «Мой дом»</t>
  </si>
  <si>
    <t>Непосредственное управление</t>
  </si>
  <si>
    <t>ООО «Жилищник-Центр»</t>
  </si>
  <si>
    <t>Каменные/блочные</t>
  </si>
  <si>
    <t>ООО "ЖКО" </t>
  </si>
  <si>
    <t>ООО "Новая управляющая компания"</t>
  </si>
  <si>
    <t>1957</t>
  </si>
  <si>
    <t>"Нить"</t>
  </si>
  <si>
    <t>ООО "Стройград"</t>
  </si>
  <si>
    <t>ООО "Монолит"</t>
  </si>
  <si>
    <t>ООО "УК Наш Дом"</t>
  </si>
  <si>
    <t>ООО "Уютный дом"</t>
  </si>
  <si>
    <t>ООО "Комсервис+" </t>
  </si>
  <si>
    <t>ООО "ЖЭК № 2"</t>
  </si>
  <si>
    <t>ООО "ЖЭК Никологоры"</t>
  </si>
  <si>
    <t>ООО "Степанцевское ЖКХ"</t>
  </si>
  <si>
    <t xml:space="preserve">ООО УК ЖКХ Собинского района </t>
  </si>
  <si>
    <t>ООО УК "Пономарев С.А." </t>
  </si>
  <si>
    <t>ООО"УК "Меленковского района </t>
  </si>
  <si>
    <t>ООО «Фортуна» </t>
  </si>
  <si>
    <t xml:space="preserve">ООО ДУК "Территория" </t>
  </si>
  <si>
    <t>ООО "Ремстрой Южный"</t>
  </si>
  <si>
    <t>Кирпичные/блочные</t>
  </si>
  <si>
    <t>ООО "Тепломир" </t>
  </si>
  <si>
    <t>ООО УК "Вика"</t>
  </si>
  <si>
    <t>ООО УК "ВИКА" </t>
  </si>
  <si>
    <t>МУП "ЖКХ"</t>
  </si>
  <si>
    <t>ИП Деркач В.Н.</t>
  </si>
  <si>
    <t>ООО "Жилищник" город Суздаль</t>
  </si>
  <si>
    <t>ООО "Управляющая компания № 3"</t>
  </si>
  <si>
    <t>Александров г, Коллективная Аллея ул, 16</t>
  </si>
  <si>
    <t>Александров г, Стрелецкая Набережная ул, 10</t>
  </si>
  <si>
    <t>ООО "УК РЭУ №1"</t>
  </si>
  <si>
    <t>ООО "ДОМОУПРАВ"</t>
  </si>
  <si>
    <t>ООО "УО "РМД"</t>
  </si>
  <si>
    <t>ООО "ЖИЛСТРОЙ"</t>
  </si>
  <si>
    <t>ТСЖ Г.СОБИНКА, УЛ.ЛАКИНА, Д.9</t>
  </si>
  <si>
    <t>ООО "БАЛРЕМСТРОЙ"</t>
  </si>
  <si>
    <t>ООО "Достояние"</t>
  </si>
  <si>
    <t>город Владимир</t>
  </si>
  <si>
    <t>город Гусь-Хрустальный</t>
  </si>
  <si>
    <t>город Муром</t>
  </si>
  <si>
    <t>Асерховское</t>
  </si>
  <si>
    <t>Краснопламенское</t>
  </si>
  <si>
    <t>Новлянское</t>
  </si>
  <si>
    <t>Колокшанское</t>
  </si>
  <si>
    <t xml:space="preserve">Вяткинское </t>
  </si>
  <si>
    <t xml:space="preserve">Денисовское </t>
  </si>
  <si>
    <t>Суздальский р-н, Сокол п, 1</t>
  </si>
  <si>
    <t>Ковров г, Мира пр-кт, 2</t>
  </si>
  <si>
    <t>Владимир г, Краснознаменная ул, 5</t>
  </si>
  <si>
    <t>Владимир г, Растопчина ул, 19</t>
  </si>
  <si>
    <t>Владимир г, Чайковского ул, 38</t>
  </si>
  <si>
    <t>Владимир г, Электроприборовский проезд, 2</t>
  </si>
  <si>
    <t>Владимир г, Василисина ул, 11</t>
  </si>
  <si>
    <t>Владимир г, Ленина пр-кт, 7</t>
  </si>
  <si>
    <t>Владимир г, Суздальская ул, 2</t>
  </si>
  <si>
    <t>Владимир г, Гагарина ул, 29</t>
  </si>
  <si>
    <t>Владимир г, Большая Нижегородская ул, 67г</t>
  </si>
  <si>
    <t>Владимир г, Каманина ул, 26</t>
  </si>
  <si>
    <t>Владимир г, Судогодское ш, 1</t>
  </si>
  <si>
    <t>МКП г.Владимира «ЖКХ»</t>
  </si>
  <si>
    <t>ООО «Владимирская управляющая компания»</t>
  </si>
  <si>
    <t>ООО «МУПЖРЭП»</t>
  </si>
  <si>
    <t>МУП г.Владимира «ГУК»</t>
  </si>
  <si>
    <t>Ковров г, Брюсова ул, 54</t>
  </si>
  <si>
    <t>Ковров г, Волго-Донская ул, 7в</t>
  </si>
  <si>
    <t>Ковров г, Запольная ул, 28</t>
  </si>
  <si>
    <t>Ковров г, Зои Космодемьянской ул, 30</t>
  </si>
  <si>
    <t>Ковров г, Свердлова ул, 15</t>
  </si>
  <si>
    <t>ТСЖ "Мир-2"</t>
  </si>
  <si>
    <t>ООО УК "Сфера"</t>
  </si>
  <si>
    <t>ЖСК № 55</t>
  </si>
  <si>
    <t>ООО УК "Восточное"</t>
  </si>
  <si>
    <t>ООО «ТЭК»</t>
  </si>
  <si>
    <t>ООО»Жилищник-Центр»</t>
  </si>
  <si>
    <t>ООО УК «Старый город»</t>
  </si>
  <si>
    <t>ООО ЖРП «Заклязьменский»</t>
  </si>
  <si>
    <t>Владимир г, Ленина пр-кт, 5</t>
  </si>
  <si>
    <t>Владимир г, Ленина пр-кт, 20</t>
  </si>
  <si>
    <t>Владимир г, Каманина ул, 27</t>
  </si>
  <si>
    <t>МКП г.Владимир "ЖКХ"</t>
  </si>
  <si>
    <t>Ковровский р-н, Мелехово пгт, Советская ул, 14</t>
  </si>
  <si>
    <t>Камешковский р-н, Дружба п, Мира ул, 9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</si>
  <si>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</si>
  <si>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2026-2028</t>
  </si>
  <si>
    <t>2029-2031</t>
  </si>
  <si>
    <t>2023-2025</t>
  </si>
  <si>
    <t>2028-2030</t>
  </si>
  <si>
    <t>2016-2018</t>
  </si>
  <si>
    <t>2031-2033</t>
  </si>
  <si>
    <t>2032-2034</t>
  </si>
  <si>
    <t>2024-2026</t>
  </si>
  <si>
    <t>2037-2039</t>
  </si>
  <si>
    <t>Итого по округ Муром</t>
  </si>
  <si>
    <t>2041-2043</t>
  </si>
  <si>
    <t>Итого по ЗАТО город Радужный</t>
  </si>
  <si>
    <t>Итого по Второвское</t>
  </si>
  <si>
    <t>Итого по город Поеров</t>
  </si>
  <si>
    <t>2027-2029</t>
  </si>
  <si>
    <t>Александров г, Терешковой ул, 7 корп. 3</t>
  </si>
  <si>
    <t>Александров г, Терешковой ул, 8</t>
  </si>
  <si>
    <t>Александров г, Вокзальная ул, 20</t>
  </si>
  <si>
    <t>Александров г, Лермонтова ул, 24 корп. 1</t>
  </si>
  <si>
    <t>Александров г, Ленина ул, 1 корп. 1</t>
  </si>
  <si>
    <t>Вязниковский р-н, Никологоры п, 1-я Пролетарская ул, 61</t>
  </si>
  <si>
    <t>Вязниковский р-н, Никологоры п, Е.Игошина ул, 22а</t>
  </si>
  <si>
    <t>Владимир г, Ленина пр-кт, 27Б</t>
  </si>
  <si>
    <t>Владимир г, Оргтруд мкр, Молодежная ул, 12</t>
  </si>
  <si>
    <t>Владимир г, Лермонтова ул, 22</t>
  </si>
  <si>
    <t>Владимир г, Добросельская ул, 193</t>
  </si>
  <si>
    <t>Владимир г, Оргтруд мкр, Молодежная ул, 11</t>
  </si>
  <si>
    <t>Владимир г, Горького ул, 63</t>
  </si>
  <si>
    <t>Владимир г, Полины Осипенко ул, 4</t>
  </si>
  <si>
    <t>Владимир г, Крупской ул, 4</t>
  </si>
  <si>
    <t>Владимир г, Рабочий спуск, 3</t>
  </si>
  <si>
    <t>Владимир г, Луначарского ул, 33</t>
  </si>
  <si>
    <t>Вязники г, Железнодорожная ул, 44</t>
  </si>
  <si>
    <t>Вязники г, Нововязники мкр, Юбилейная ул, 6</t>
  </si>
  <si>
    <t>Вязники г, Ленина ул, 8</t>
  </si>
  <si>
    <t>Вязники г, Железнодорожная ул, 51</t>
  </si>
  <si>
    <t>Вязники г, Новая ул, 12</t>
  </si>
  <si>
    <t>Вязники г, Герцена ул, 38а</t>
  </si>
  <si>
    <t>Вязниковский р-н, Большевысоково д, Садовая ул, 13</t>
  </si>
  <si>
    <t>Вязниковский р-н, Октябрьский п, Советская ул, 1</t>
  </si>
  <si>
    <t>Вязниковский р-н, Октябрьский п, Первомайская ул, 2</t>
  </si>
  <si>
    <t>Вязниковский р-н, Лукново п, Фабричная ул, 25</t>
  </si>
  <si>
    <t>Ковров г, Брюсова ул, 58</t>
  </si>
  <si>
    <t>Ковров г, Ленина пр-кт, 11</t>
  </si>
  <si>
    <t>Ковров г, Тимофея Павловского ул, 2</t>
  </si>
  <si>
    <t>Ковров г, Текстильная ул, 2а</t>
  </si>
  <si>
    <t>Ковров г, Абельмана ул, 38</t>
  </si>
  <si>
    <t>Ковров г, Брюсова ул, 23</t>
  </si>
  <si>
    <t>Ковров г, Ленина пр-кт, 7</t>
  </si>
  <si>
    <t>Ковров г, Дегтярева ул, 4</t>
  </si>
  <si>
    <t>Ковров г, Брюсова ул, 27</t>
  </si>
  <si>
    <t>Ковров г, Ленина пр-кт, 9</t>
  </si>
  <si>
    <t>Ковров г, Ленина пр-кт, 38А</t>
  </si>
  <si>
    <t>Ковров г, Либерецкая ул, 4</t>
  </si>
  <si>
    <t>Ковров г, Чернышевского ул, 2</t>
  </si>
  <si>
    <t>Ковров г, Либерецкая ул, 9</t>
  </si>
  <si>
    <t>Ковров г, Социалистическая ул, 27</t>
  </si>
  <si>
    <t>Ковров г, Еловая ул, 84</t>
  </si>
  <si>
    <t>Ковров г, Летняя ул, 35</t>
  </si>
  <si>
    <t>Ковров г, Социалистическая ул, 3</t>
  </si>
  <si>
    <t>Ковров г, Белинского ул, 3</t>
  </si>
  <si>
    <t>Ковров г, Дегтярева ул, 204</t>
  </si>
  <si>
    <t>Ковров г, Лесная ул, 11</t>
  </si>
  <si>
    <t>Ковров г, Ленина пр-кт, 18</t>
  </si>
  <si>
    <t>Ковров г, Либерецкая ул, 1</t>
  </si>
  <si>
    <t>Муром г, Кирова ул, 30</t>
  </si>
  <si>
    <t>Муром г, Владимирская ул, 7</t>
  </si>
  <si>
    <t>Муром г, Энгельса ул, 1</t>
  </si>
  <si>
    <t>Муром г, Советская ул, 73А</t>
  </si>
  <si>
    <t>Муром г, Южная ул, 22</t>
  </si>
  <si>
    <t>Муром г, Воровского ул, 91а</t>
  </si>
  <si>
    <t>Муром г, Куйбышева ул, 1г</t>
  </si>
  <si>
    <t>Муром г, Пролетарская ул, 73</t>
  </si>
  <si>
    <t>Муром г, Владимирская ул, 6</t>
  </si>
  <si>
    <t>Муром г, Радиозаводское ш, 20</t>
  </si>
  <si>
    <t>Муром г, Серова ул, 40</t>
  </si>
  <si>
    <t>Радужный г, 1-й кв-л, 18</t>
  </si>
  <si>
    <t>Радужный г, 1-й кв-л, 23</t>
  </si>
  <si>
    <t>Радужный г, 1-й кв-л, 27</t>
  </si>
  <si>
    <t>Радужный г, 1-й кв-л, 29</t>
  </si>
  <si>
    <t>Вязниковский р-н, Мстёра ст, Мира ул, 1</t>
  </si>
  <si>
    <t>Вязниковский р-н, Мстёра ст, Мира ул, 2</t>
  </si>
  <si>
    <t>Камешковский р-н, Второво с, Молодежная ул, 5</t>
  </si>
  <si>
    <t>Суздальский р-н, Сновицы с, Школьная ул, 8</t>
  </si>
  <si>
    <t>Петушки г, Московская ул, 9</t>
  </si>
  <si>
    <t>Петушки г, Луговая ул, 2</t>
  </si>
  <si>
    <t>Петушки г, Лесная ул, 20</t>
  </si>
  <si>
    <t>Камешковский р-н, им Карла Маркса п, Карла Маркса ул, 2</t>
  </si>
  <si>
    <t>Киржач г, Красный Октябрь мкр, Пушкина ул, 26</t>
  </si>
  <si>
    <t>Петушинский р-н, Покров г, Больничный проезд, 6</t>
  </si>
  <si>
    <t>Петушинский р-н, Покров г, Ленина ул, 124</t>
  </si>
  <si>
    <t>Петушинский р-н, Труд п, Советская ул, 1</t>
  </si>
  <si>
    <t>Петушинский р-н, Труд п, Советская ул, 2</t>
  </si>
  <si>
    <t>Судогодский р-н, Бег п, Октябрьская ул, 15</t>
  </si>
  <si>
    <t>Гороховецкий р-н, Выезд д, Полевая ул, 3</t>
  </si>
  <si>
    <t>Собинский р-н, Лакинск г, Пушкина ул, 11</t>
  </si>
  <si>
    <t>Собинский р-н, Лакинск г, Мира ул, 7а</t>
  </si>
  <si>
    <t>Собинский р-н, Лакинск г, Ленина пр-кт, 8/3</t>
  </si>
  <si>
    <t>Селивановский р-н, Новлянка д, Совхозная ул, 26</t>
  </si>
  <si>
    <t>Селивановский р-н, Малышево с, Школьная ул, 4</t>
  </si>
  <si>
    <t>Ковровский р-н, Первомайский п, 17</t>
  </si>
  <si>
    <t>Петушинский р-н, Головино д, Полевая ул, 1</t>
  </si>
  <si>
    <t>Судогодский р-н, Мошок с, Заводская ул, 26</t>
  </si>
  <si>
    <t>Владимир г, Добросельская ул, 198</t>
  </si>
  <si>
    <t>Владимир г, Никитская ул, 23</t>
  </si>
  <si>
    <t>Владимир г, Труда ул, 8</t>
  </si>
  <si>
    <t>Владимир г, Усти-на-Лабе ул, 17</t>
  </si>
  <si>
    <t>Ковров г, Ленина пр-кт, 25</t>
  </si>
  <si>
    <t>Ковров г, Муромская ул, 1</t>
  </si>
  <si>
    <t>Ковров г, Тимофея Павловского ул, 6</t>
  </si>
  <si>
    <t>Ковровский р-н, Мелехово пгт, Пионерская ул, 3</t>
  </si>
  <si>
    <t>Кольчугинский р-н, Дубки п, Совхозная ул, 4</t>
  </si>
  <si>
    <t>Кольчугинский р-н, Дубки п, Совхозная ул, 6</t>
  </si>
  <si>
    <t>Муром г, Пролетарская ул, 41</t>
  </si>
  <si>
    <t>Петушки г, Спортивная ул, 6а</t>
  </si>
  <si>
    <t>ООО "ЖКХ "УЮТ""</t>
  </si>
  <si>
    <t>ООО "ЖКХ "УЮТ" </t>
  </si>
  <si>
    <t>МКП г. Владимира "ЖКХ"</t>
  </si>
  <si>
    <t>ООО "ЖРЭП № 8" </t>
  </si>
  <si>
    <t>ООО "Наш дом" </t>
  </si>
  <si>
    <t>ООО "ЖЭК № 4"</t>
  </si>
  <si>
    <t>ООО"ЖЭК№3" </t>
  </si>
  <si>
    <t>ООО "УК Сфера"</t>
  </si>
  <si>
    <t>ООО УК "Ковровтеплострой"</t>
  </si>
  <si>
    <t>ООО "УК "Веста" </t>
  </si>
  <si>
    <t>ООО "УМД Континент" </t>
  </si>
  <si>
    <t>ООО УК "Согласие" </t>
  </si>
  <si>
    <t>ООО УК "УПРАВДОМ"</t>
  </si>
  <si>
    <t>ООО УК "ВИКА"</t>
  </si>
  <si>
    <t>ООО "УК "ВЕСТА"</t>
  </si>
  <si>
    <t>ТСН "КИРОВА 30"</t>
  </si>
  <si>
    <t>ООО "Фортуна" </t>
  </si>
  <si>
    <t>ООО "РЕМСТРОЙ Южный" </t>
  </si>
  <si>
    <t>ООО «Фортуна»</t>
  </si>
  <si>
    <t>ООО "РЕМСТРОЙ ЮЖНЫЙ"</t>
  </si>
  <si>
    <t>ООО "ФОРТУНА</t>
  </si>
  <si>
    <t>ООО "ФОРТУНА"</t>
  </si>
  <si>
    <t>ТСЖ "СНОВИЦЫ"</t>
  </si>
  <si>
    <t>МУП "РСУ" г. Петушки</t>
  </si>
  <si>
    <t xml:space="preserve"> "Карла Маркса 2"</t>
  </si>
  <si>
    <t>ООО "УК ПОКРОВ"</t>
  </si>
  <si>
    <t>ООО "ЭКСПЕРТ"</t>
  </si>
  <si>
    <t>ООО "СМК-РЕКОНСТРУКЦИЯ"</t>
  </si>
  <si>
    <t>2016</t>
  </si>
  <si>
    <t>Владимир г, Верхняя Дуброва ул, 16</t>
  </si>
  <si>
    <t>Владимир г, Московское ш, 1</t>
  </si>
  <si>
    <t>Гороховец г, Краснова ул, 5</t>
  </si>
  <si>
    <t>Гороховец г, Полевая ул, 1</t>
  </si>
  <si>
    <t>Гороховецкий р-н, Торфопредприятия Большое п, Октябрьская ул, 8</t>
  </si>
  <si>
    <t>Гороховецкий р-н, Галицы п, Пролетарская ул, 34</t>
  </si>
  <si>
    <t>Ковров г, Киркижа ул, 30</t>
  </si>
  <si>
    <t>Ковров г, Лопатина ул, 23</t>
  </si>
  <si>
    <t>Ковров г, Машиностроителей ул, 11</t>
  </si>
  <si>
    <t>Вязники г, Благовещенская ул, 38</t>
  </si>
  <si>
    <t>Владимир г, Токарева ул, 10</t>
  </si>
  <si>
    <t>Владимир г, Горького ул, 57</t>
  </si>
  <si>
    <t>Владимир г, Диктора Левитана ул, 39</t>
  </si>
  <si>
    <t>Владимир г, Егорова ул, 2</t>
  </si>
  <si>
    <t>Владимир г, Дворянская ул, 13</t>
  </si>
  <si>
    <t>Владимир г, Асаткина ул, 12</t>
  </si>
  <si>
    <t>Суздальский р-н, Новоалександрово с, Студенческая ул, 6</t>
  </si>
  <si>
    <t>Гороховец г, Мира ул, 18</t>
  </si>
  <si>
    <t>Гороховец г, Советская ул, 13</t>
  </si>
  <si>
    <t>Вязники г, Соборная пл, 4</t>
  </si>
  <si>
    <t>Муром г, Мечникова ул, 81</t>
  </si>
  <si>
    <t>Петушинский р-н, Вольгинский п, Новосеменковская ул, 5</t>
  </si>
  <si>
    <t>Петушинский р-н, Пахомово д, 37</t>
  </si>
  <si>
    <t>Петушинский р-н, Городищи п, Октябрьская 2-я ул, 25</t>
  </si>
  <si>
    <t>Камешковский р-н, им Максима Горького п, Шоссейная ул, 1</t>
  </si>
  <si>
    <t>Радужный г, 1-й кв-л, 20</t>
  </si>
  <si>
    <t>Александров г, Терешковой ул, 7 корп. 2</t>
  </si>
  <si>
    <t>Гусь-Хрустальный г, Каляевская ул, 3</t>
  </si>
  <si>
    <t>Киржач г, Больничный проезд, 4</t>
  </si>
  <si>
    <t>Собинский р-н, Лакинск г, 21 Партсъезда ул, 11</t>
  </si>
  <si>
    <t>Юрьев-Польский г, Герцена ул, 13А</t>
  </si>
  <si>
    <t>Юрьев-Польский г, Герцена ул, 15</t>
  </si>
  <si>
    <t>Муромский р-н, Фабрики им П.Л.Войкова п, 25</t>
  </si>
  <si>
    <t>Муром г, Спортивная ул, 10</t>
  </si>
  <si>
    <t>Александровский р-н, Карабаново г, Мира ул, 16</t>
  </si>
  <si>
    <t>Петушинский р-н, Вольгинский п, Старовская ул, 3</t>
  </si>
  <si>
    <t>МКП Г. ВЛАДИМИРА "ЖКХ"</t>
  </si>
  <si>
    <t>ООО УК "СОГЛАСИЕ"</t>
  </si>
  <si>
    <t>округ Муром</t>
  </si>
  <si>
    <t>ЗАТО город Радужный</t>
  </si>
  <si>
    <t>Второвское</t>
  </si>
  <si>
    <t>Камешково г, Рабочая ул, 7В</t>
  </si>
  <si>
    <t>Ковровский р-н, подстанция Заря р-н, 3</t>
  </si>
  <si>
    <t>Ковровский р-н, Мелехово пгт, Советская ул, 9</t>
  </si>
  <si>
    <t>ООО "УПРАВЛЯЮЩАЯ ОРГАНИЗАЦИЯ" Г.ГУСЬ-ХРУСТАЛЬНЫЙ</t>
  </si>
  <si>
    <t>Кирпичные, блочные</t>
  </si>
  <si>
    <t>ООО "Домоуправ" </t>
  </si>
  <si>
    <t>ООО "ЖКО Роско"</t>
  </si>
  <si>
    <t>1880</t>
  </si>
  <si>
    <t>"Галицы"</t>
  </si>
  <si>
    <t>ООО "УЮТ"</t>
  </si>
  <si>
    <t>ООО "Жилфонд"</t>
  </si>
  <si>
    <t>ООО "МОНОЛИТ"</t>
  </si>
  <si>
    <t>УК "Порядок"</t>
  </si>
  <si>
    <t>Гороховец г, Ленина ул, 15</t>
  </si>
  <si>
    <t>Владимир г, Асаткина ул, 15</t>
  </si>
  <si>
    <t>Владимир г, Завадского ул, 13</t>
  </si>
  <si>
    <t>Владимир г, Юрьевец мкр, Институтский городок, 4</t>
  </si>
  <si>
    <t>Владимир г, Кирова ул, 10</t>
  </si>
  <si>
    <t>Владимир г, Полины Осипенко ул, 15</t>
  </si>
  <si>
    <t>Владимир г, Труда ул, 32</t>
  </si>
  <si>
    <t>ООО «Жилищная компания»</t>
  </si>
  <si>
    <t>ООО «УК Лидер»</t>
  </si>
  <si>
    <t>Муром г, Кленовая ул, 1/3</t>
  </si>
  <si>
    <t>Гусь-Хрустальный г, Октябрьская ул, 2</t>
  </si>
  <si>
    <t>Гусь-Хрустальный г, Ломоносова ул, 24а</t>
  </si>
  <si>
    <t>Киржач г, Совхозная ул, 1</t>
  </si>
  <si>
    <t>Александров г, Лермонтова ул, 14</t>
  </si>
  <si>
    <t>Каменные, блочные</t>
  </si>
  <si>
    <t>Петушинский р-н, Покров г, 3 Интернационала ул, 68</t>
  </si>
  <si>
    <t>ООО "МКД-СЕРВИС"</t>
  </si>
  <si>
    <t>МУП города Владимира "ГУК" </t>
  </si>
  <si>
    <t>Владимир г, Семашко ул, 13</t>
  </si>
  <si>
    <t>Ковров г, Блинова ул, 74</t>
  </si>
  <si>
    <t>Ковров г, Сосновая ул, 28</t>
  </si>
  <si>
    <t>ООО УК "Парадигма"</t>
  </si>
  <si>
    <t>ООО "УК"Парадигма"</t>
  </si>
  <si>
    <t>ООО "Наше ЖКО"</t>
  </si>
  <si>
    <t xml:space="preserve">Получатель бюджетных средств - Некоммерческая организация (дополнительная помощь при возникновении неотложной необходимости в проведении капитального ремонта общего имущества в многоквартирных домах в рамках постановления администрации Владимирской области №742 от 05.10.2018) </t>
  </si>
  <si>
    <t>Гороховец г, Ленина ул, 6</t>
  </si>
  <si>
    <t>Гороховец г, Набережная ул, 28</t>
  </si>
  <si>
    <t>Судогодский р-н, Гонобилово д, Центральная ул, 1</t>
  </si>
  <si>
    <t>Владимир г, Офицерская ул, 1</t>
  </si>
  <si>
    <t>Владимир г, Юбилейная ул, 78</t>
  </si>
  <si>
    <t>Владимир г, Даргомыжского ул, 10/20</t>
  </si>
  <si>
    <t>Владимир г, Диктора Левитана ул, 55А</t>
  </si>
  <si>
    <t>Владимир г, Лакина ул, 151</t>
  </si>
  <si>
    <t>Владимир г, Чайковского ул, 32</t>
  </si>
  <si>
    <t>Владимир г, Модорова ул, 8</t>
  </si>
  <si>
    <t>Владимир г, Фейгина ул, 6/25</t>
  </si>
  <si>
    <t>Александров г, Юбилейная ул, 2</t>
  </si>
  <si>
    <t>Александров г, 1-я Крестьянская ул, 16</t>
  </si>
  <si>
    <t>Александров г, Охотный луг ул, 23</t>
  </si>
  <si>
    <t>Александров г, Маяковского ул, 18</t>
  </si>
  <si>
    <t>Муром г, Пушкина ул, 16</t>
  </si>
  <si>
    <t>Гусь-Хрустальный г, Ленинградская ул, 1а</t>
  </si>
  <si>
    <t>Гусь-Хрустальный г, Транспортная ул, 7</t>
  </si>
  <si>
    <t>Гусь-Хрустальный г, Транспортная ул, 8</t>
  </si>
  <si>
    <t>Гусь-Хрустальный г, Фрезерная ул, 4</t>
  </si>
  <si>
    <t>Владимир г, Перекопский военный городок, 20</t>
  </si>
  <si>
    <t>Владимир г, Перекопский военный городок, 10</t>
  </si>
  <si>
    <t>Владимир г, Василисина ул, 1</t>
  </si>
  <si>
    <t>Владимир г, Доватора ул, 3А</t>
  </si>
  <si>
    <t>Владимир г, Завадского ул, 3</t>
  </si>
  <si>
    <t>Владимир г, Ленина пр-кт, 64</t>
  </si>
  <si>
    <t>Владимир г, Ленина пр-кт, 68</t>
  </si>
  <si>
    <t>Владимир г, Ставровская ул, 2Б</t>
  </si>
  <si>
    <t>Владимир г, Тихонравова ул, 10</t>
  </si>
  <si>
    <t>ООО «ЖилСтройСтандарт»</t>
  </si>
  <si>
    <t>ТСЖ «Центр»</t>
  </si>
  <si>
    <t>ООО «КЭЧ»</t>
  </si>
  <si>
    <t>ООО  «Универсал Строй»»</t>
  </si>
  <si>
    <t>ООО «Квартал»</t>
  </si>
  <si>
    <t>ООО "Жилищник</t>
  </si>
  <si>
    <t>ООО «Жилремстрой»</t>
  </si>
  <si>
    <t>ЗАО «Альтернатива»</t>
  </si>
  <si>
    <t xml:space="preserve"> ООО «ТЭК»</t>
  </si>
  <si>
    <t xml:space="preserve"> ООО «УниверсалСтрой»</t>
  </si>
  <si>
    <t xml:space="preserve"> ООО «Жилремстрой»</t>
  </si>
  <si>
    <t xml:space="preserve"> МУП г.Владимира «ГУК»</t>
  </si>
  <si>
    <t>НО</t>
  </si>
  <si>
    <t>ООО «Оникс»</t>
  </si>
  <si>
    <t xml:space="preserve"> ООО «Жилищник»</t>
  </si>
  <si>
    <t>ООО «ВУК»</t>
  </si>
  <si>
    <t>ООО "ЖКС "Алдега"</t>
  </si>
  <si>
    <t>Муром г, Филатова ул, 19</t>
  </si>
  <si>
    <t>Муром г, Цветочный б-р, 4</t>
  </si>
  <si>
    <t>Радужный г, 1-й кв-л,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</si>
</sst>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р_._-;\-* #,##0.00_р_._-;_-* &quot;-&quot;??_р_._-;_-@_-"/>
    <numFmt numFmtId="165" formatCode="[$-419]General"/>
    <numFmt numFmtId="166" formatCode="###\ ###\ ###\ ##0.00"/>
    <numFmt numFmtId="167" formatCode="###\ ###\ ###\ ##0"/>
  </numFmts>
  <fonts count="4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4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165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1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287">
    <xf numFmtId="0" fontId="0" fillId="0" borderId="0" xfId="0"/>
    <xf numFmtId="0" fontId="1" fillId="0" borderId="0" xfId="23" applyFont="1" applyAlignment="1">
      <alignment wrapText="1"/>
    </xf>
    <xf numFmtId="0" fontId="1" fillId="0" borderId="0" xfId="23" applyFont="1" applyAlignment="1">
      <alignment horizontal="right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7" fillId="0" borderId="1" xfId="9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right"/>
    </xf>
    <xf numFmtId="4" fontId="0" fillId="0" borderId="0" xfId="0" applyNumberForma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/>
    <xf numFmtId="0" fontId="23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4" fontId="23" fillId="0" borderId="1" xfId="0" applyNumberFormat="1" applyFont="1" applyFill="1" applyBorder="1" applyAlignment="1">
      <alignment horizontal="right" wrapText="1"/>
    </xf>
    <xf numFmtId="4" fontId="23" fillId="0" borderId="1" xfId="0" applyNumberFormat="1" applyFont="1" applyFill="1" applyBorder="1" applyAlignment="1">
      <alignment horizontal="right"/>
    </xf>
    <xf numFmtId="4" fontId="28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>
      <alignment horizontal="right"/>
    </xf>
    <xf numFmtId="1" fontId="23" fillId="0" borderId="1" xfId="0" applyNumberFormat="1" applyFont="1" applyFill="1" applyBorder="1" applyAlignment="1">
      <alignment horizontal="center"/>
    </xf>
    <xf numFmtId="1" fontId="23" fillId="0" borderId="5" xfId="0" applyNumberFormat="1" applyFont="1" applyFill="1" applyBorder="1" applyAlignment="1">
      <alignment horizontal="center"/>
    </xf>
    <xf numFmtId="4" fontId="25" fillId="0" borderId="1" xfId="10" applyNumberFormat="1" applyFont="1" applyFill="1" applyBorder="1" applyAlignment="1">
      <alignment horizontal="right" wrapText="1"/>
    </xf>
    <xf numFmtId="4" fontId="25" fillId="0" borderId="1" xfId="22" applyNumberFormat="1" applyFont="1" applyFill="1" applyBorder="1" applyAlignment="1">
      <alignment horizontal="right"/>
    </xf>
    <xf numFmtId="4" fontId="25" fillId="0" borderId="1" xfId="1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center"/>
    </xf>
    <xf numFmtId="0" fontId="1" fillId="0" borderId="1" xfId="23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29" fillId="0" borderId="0" xfId="0" applyFont="1" applyFill="1" applyAlignment="1">
      <alignment wrapText="1"/>
    </xf>
    <xf numFmtId="0" fontId="30" fillId="0" borderId="1" xfId="9" applyNumberFormat="1" applyFont="1" applyFill="1" applyBorder="1" applyAlignment="1">
      <alignment horizontal="center" vertical="center"/>
    </xf>
    <xf numFmtId="4" fontId="30" fillId="0" borderId="1" xfId="9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166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66" fontId="15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30" fillId="0" borderId="0" xfId="19" applyFont="1" applyFill="1" applyAlignment="1">
      <alignment wrapText="1"/>
    </xf>
    <xf numFmtId="0" fontId="30" fillId="0" borderId="0" xfId="19" applyFont="1" applyFill="1" applyAlignment="1">
      <alignment horizontal="center" wrapText="1"/>
    </xf>
    <xf numFmtId="0" fontId="30" fillId="0" borderId="0" xfId="19" applyFont="1" applyFill="1" applyAlignment="1">
      <alignment vertical="center" wrapText="1"/>
    </xf>
    <xf numFmtId="0" fontId="30" fillId="0" borderId="1" xfId="29" applyFont="1" applyFill="1" applyBorder="1" applyAlignment="1">
      <alignment horizontal="center" vertical="center"/>
    </xf>
    <xf numFmtId="1" fontId="30" fillId="0" borderId="1" xfId="29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6" fillId="0" borderId="11" xfId="0" applyFont="1" applyFill="1" applyBorder="1" applyAlignment="1">
      <alignment horizontal="center" vertical="center" textRotation="90" wrapText="1"/>
    </xf>
    <xf numFmtId="0" fontId="26" fillId="0" borderId="1" xfId="0" applyNumberFormat="1" applyFont="1" applyFill="1" applyBorder="1" applyAlignment="1">
      <alignment horizontal="center" wrapText="1"/>
    </xf>
    <xf numFmtId="0" fontId="31" fillId="0" borderId="0" xfId="0" applyFont="1" applyFill="1"/>
    <xf numFmtId="0" fontId="0" fillId="0" borderId="0" xfId="0" applyNumberFormat="1" applyFill="1"/>
    <xf numFmtId="0" fontId="28" fillId="0" borderId="1" xfId="28" applyFont="1" applyFill="1" applyBorder="1" applyAlignment="1">
      <alignment horizontal="center"/>
    </xf>
    <xf numFmtId="4" fontId="23" fillId="0" borderId="1" xfId="0" applyNumberFormat="1" applyFont="1" applyFill="1" applyBorder="1" applyAlignment="1"/>
    <xf numFmtId="4" fontId="23" fillId="0" borderId="1" xfId="0" applyNumberFormat="1" applyFont="1" applyFill="1" applyBorder="1" applyAlignment="1">
      <alignment horizontal="center"/>
    </xf>
    <xf numFmtId="10" fontId="23" fillId="0" borderId="1" xfId="0" applyNumberFormat="1" applyFont="1" applyFill="1" applyBorder="1" applyAlignment="1">
      <alignment horizontal="center"/>
    </xf>
    <xf numFmtId="0" fontId="28" fillId="0" borderId="1" xfId="28" applyFont="1" applyFill="1" applyBorder="1" applyAlignment="1">
      <alignment horizontal="left"/>
    </xf>
    <xf numFmtId="4" fontId="23" fillId="0" borderId="0" xfId="0" applyNumberFormat="1" applyFont="1" applyFill="1"/>
    <xf numFmtId="0" fontId="2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center" wrapText="1"/>
    </xf>
    <xf numFmtId="3" fontId="23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27" fillId="0" borderId="0" xfId="0" applyNumberFormat="1" applyFont="1" applyFill="1" applyAlignment="1">
      <alignment horizontal="right"/>
    </xf>
    <xf numFmtId="3" fontId="26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28" fillId="0" borderId="1" xfId="0" applyNumberFormat="1" applyFont="1" applyFill="1" applyBorder="1" applyAlignment="1">
      <alignment horizontal="right" wrapText="1"/>
    </xf>
    <xf numFmtId="0" fontId="25" fillId="0" borderId="1" xfId="10" applyNumberFormat="1" applyFont="1" applyFill="1" applyBorder="1" applyAlignment="1">
      <alignment horizontal="right"/>
    </xf>
    <xf numFmtId="0" fontId="23" fillId="0" borderId="1" xfId="0" applyNumberFormat="1" applyFont="1" applyFill="1" applyBorder="1" applyAlignment="1">
      <alignment horizontal="right" vertical="center" readingOrder="1"/>
    </xf>
    <xf numFmtId="3" fontId="15" fillId="0" borderId="1" xfId="0" applyNumberFormat="1" applyFont="1" applyBorder="1" applyAlignment="1">
      <alignment horizontal="center" wrapText="1"/>
    </xf>
    <xf numFmtId="0" fontId="23" fillId="0" borderId="5" xfId="0" applyFont="1" applyFill="1" applyBorder="1" applyAlignment="1">
      <alignment horizontal="center" wrapText="1"/>
    </xf>
    <xf numFmtId="4" fontId="23" fillId="0" borderId="1" xfId="0" applyNumberFormat="1" applyFont="1" applyFill="1" applyBorder="1" applyAlignment="1">
      <alignment horizontal="right" vertical="center" readingOrder="1"/>
    </xf>
    <xf numFmtId="0" fontId="30" fillId="0" borderId="1" xfId="0" applyFont="1" applyFill="1" applyBorder="1" applyAlignment="1">
      <alignment horizontal="left"/>
    </xf>
    <xf numFmtId="0" fontId="35" fillId="0" borderId="1" xfId="28" applyFont="1" applyFill="1" applyBorder="1" applyAlignment="1">
      <alignment horizontal="center"/>
    </xf>
    <xf numFmtId="0" fontId="36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right"/>
    </xf>
    <xf numFmtId="4" fontId="37" fillId="0" borderId="1" xfId="0" applyNumberFormat="1" applyFont="1" applyFill="1" applyBorder="1"/>
    <xf numFmtId="0" fontId="3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0" fontId="35" fillId="0" borderId="1" xfId="28" applyFont="1" applyFill="1" applyBorder="1" applyAlignment="1">
      <alignment horizontal="left" vertical="center"/>
    </xf>
    <xf numFmtId="3" fontId="37" fillId="0" borderId="1" xfId="0" applyNumberFormat="1" applyFont="1" applyFill="1" applyBorder="1"/>
    <xf numFmtId="0" fontId="37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 wrapText="1"/>
    </xf>
    <xf numFmtId="0" fontId="15" fillId="0" borderId="1" xfId="0" applyNumberFormat="1" applyFont="1" applyBorder="1" applyAlignment="1">
      <alignment horizontal="center" wrapText="1"/>
    </xf>
    <xf numFmtId="0" fontId="31" fillId="0" borderId="1" xfId="0" applyFont="1" applyFill="1" applyBorder="1"/>
    <xf numFmtId="4" fontId="43" fillId="0" borderId="1" xfId="0" applyNumberFormat="1" applyFont="1" applyFill="1" applyBorder="1" applyAlignment="1">
      <alignment horizontal="right"/>
    </xf>
    <xf numFmtId="0" fontId="30" fillId="0" borderId="0" xfId="19" applyFont="1" applyFill="1" applyAlignment="1">
      <alignment horizontal="right" wrapText="1"/>
    </xf>
    <xf numFmtId="4" fontId="1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4" fontId="40" fillId="0" borderId="1" xfId="0" applyNumberFormat="1" applyFont="1" applyFill="1" applyBorder="1" applyAlignment="1">
      <alignment horizontal="right" vertical="center"/>
    </xf>
    <xf numFmtId="3" fontId="40" fillId="0" borderId="1" xfId="0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left" vertical="center"/>
    </xf>
    <xf numFmtId="4" fontId="37" fillId="0" borderId="1" xfId="0" applyNumberFormat="1" applyFont="1" applyFill="1" applyBorder="1" applyAlignment="1">
      <alignment horizontal="right" vertical="center"/>
    </xf>
    <xf numFmtId="4" fontId="37" fillId="0" borderId="1" xfId="0" applyNumberFormat="1" applyFont="1" applyFill="1" applyBorder="1" applyAlignment="1">
      <alignment vertical="center"/>
    </xf>
    <xf numFmtId="0" fontId="41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43" fillId="0" borderId="0" xfId="0" applyNumberFormat="1" applyFont="1" applyFill="1" applyAlignment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7" fillId="0" borderId="1" xfId="0" applyFont="1" applyFill="1" applyBorder="1" applyAlignment="1">
      <alignment horizontal="center" vertical="center"/>
    </xf>
    <xf numFmtId="3" fontId="37" fillId="0" borderId="1" xfId="0" applyNumberFormat="1" applyFont="1" applyFill="1" applyBorder="1" applyAlignment="1">
      <alignment horizontal="right" vertical="center"/>
    </xf>
    <xf numFmtId="3" fontId="37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166" fontId="23" fillId="0" borderId="1" xfId="0" applyNumberFormat="1" applyFont="1" applyFill="1" applyBorder="1" applyAlignment="1">
      <alignment horizontal="left" wrapText="1"/>
    </xf>
    <xf numFmtId="166" fontId="23" fillId="0" borderId="1" xfId="0" applyNumberFormat="1" applyFont="1" applyFill="1" applyBorder="1" applyAlignment="1">
      <alignment horizontal="right"/>
    </xf>
    <xf numFmtId="0" fontId="30" fillId="0" borderId="0" xfId="0" applyFont="1" applyFill="1" applyAlignment="1">
      <alignment horizontal="center"/>
    </xf>
    <xf numFmtId="4" fontId="28" fillId="0" borderId="1" xfId="0" applyNumberFormat="1" applyFont="1" applyFill="1" applyBorder="1" applyAlignment="1">
      <alignment horizontal="right"/>
    </xf>
    <xf numFmtId="0" fontId="35" fillId="0" borderId="1" xfId="28" applyFont="1" applyFill="1" applyBorder="1" applyAlignment="1">
      <alignment horizontal="left"/>
    </xf>
    <xf numFmtId="167" fontId="30" fillId="0" borderId="1" xfId="0" applyNumberFormat="1" applyFont="1" applyFill="1" applyBorder="1" applyAlignment="1">
      <alignment horizontal="left"/>
    </xf>
    <xf numFmtId="0" fontId="43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right"/>
    </xf>
    <xf numFmtId="3" fontId="43" fillId="0" borderId="1" xfId="0" applyNumberFormat="1" applyFont="1" applyFill="1" applyBorder="1" applyAlignment="1">
      <alignment horizontal="center"/>
    </xf>
    <xf numFmtId="166" fontId="30" fillId="0" borderId="1" xfId="0" applyNumberFormat="1" applyFont="1" applyFill="1" applyBorder="1" applyAlignment="1">
      <alignment horizontal="left" wrapText="1"/>
    </xf>
    <xf numFmtId="4" fontId="43" fillId="0" borderId="1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right"/>
    </xf>
    <xf numFmtId="0" fontId="30" fillId="0" borderId="0" xfId="0" applyFont="1" applyFill="1" applyAlignment="1">
      <alignment horizontal="right" vertical="center" wrapText="1"/>
    </xf>
    <xf numFmtId="0" fontId="30" fillId="0" borderId="1" xfId="9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/>
    </xf>
    <xf numFmtId="4" fontId="0" fillId="0" borderId="0" xfId="0" applyNumberFormat="1"/>
    <xf numFmtId="0" fontId="23" fillId="0" borderId="1" xfId="0" applyFont="1" applyFill="1" applyBorder="1"/>
    <xf numFmtId="0" fontId="23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/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left" vertical="center" wrapText="1"/>
    </xf>
    <xf numFmtId="167" fontId="23" fillId="0" borderId="5" xfId="0" applyNumberFormat="1" applyFont="1" applyFill="1" applyBorder="1" applyAlignment="1">
      <alignment horizontal="center"/>
    </xf>
    <xf numFmtId="167" fontId="23" fillId="0" borderId="1" xfId="0" applyNumberFormat="1" applyFont="1" applyFill="1" applyBorder="1" applyAlignment="1">
      <alignment horizontal="left"/>
    </xf>
    <xf numFmtId="166" fontId="31" fillId="0" borderId="1" xfId="0" applyNumberFormat="1" applyFont="1" applyFill="1" applyBorder="1" applyAlignment="1">
      <alignment wrapText="1"/>
    </xf>
    <xf numFmtId="0" fontId="28" fillId="0" borderId="1" xfId="28" applyFont="1" applyFill="1" applyBorder="1" applyAlignment="1">
      <alignment horizontal="left" vertical="center"/>
    </xf>
    <xf numFmtId="0" fontId="23" fillId="0" borderId="0" xfId="0" applyFont="1" applyFill="1"/>
    <xf numFmtId="4" fontId="30" fillId="0" borderId="0" xfId="9" applyNumberFormat="1" applyFont="1" applyFill="1" applyBorder="1" applyAlignment="1">
      <alignment horizontal="center" vertical="center" textRotation="90" wrapText="1"/>
    </xf>
    <xf numFmtId="4" fontId="30" fillId="0" borderId="0" xfId="9" applyNumberFormat="1" applyFont="1" applyFill="1" applyBorder="1" applyAlignment="1">
      <alignment horizontal="center" vertical="center" wrapText="1"/>
    </xf>
    <xf numFmtId="4" fontId="30" fillId="0" borderId="0" xfId="9" applyNumberFormat="1" applyFont="1" applyFill="1" applyBorder="1" applyAlignment="1">
      <alignment horizontal="center" vertical="center"/>
    </xf>
    <xf numFmtId="0" fontId="30" fillId="0" borderId="0" xfId="9" applyFont="1" applyFill="1" applyBorder="1" applyAlignment="1">
      <alignment horizontal="center" vertical="center"/>
    </xf>
    <xf numFmtId="4" fontId="37" fillId="0" borderId="0" xfId="0" applyNumberFormat="1" applyFont="1" applyFill="1" applyBorder="1" applyAlignment="1">
      <alignment vertical="center"/>
    </xf>
    <xf numFmtId="43" fontId="0" fillId="0" borderId="0" xfId="31" applyFont="1" applyFill="1"/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textRotation="90" wrapText="1"/>
    </xf>
    <xf numFmtId="4" fontId="26" fillId="0" borderId="1" xfId="0" applyNumberFormat="1" applyFont="1" applyFill="1" applyBorder="1" applyAlignment="1">
      <alignment horizontal="center" vertical="center" textRotation="90" wrapText="1"/>
    </xf>
    <xf numFmtId="2" fontId="26" fillId="0" borderId="1" xfId="0" applyNumberFormat="1" applyFont="1" applyFill="1" applyBorder="1" applyAlignment="1">
      <alignment horizontal="center" vertical="center" textRotation="90" wrapText="1"/>
    </xf>
    <xf numFmtId="0" fontId="21" fillId="0" borderId="0" xfId="0" applyFont="1" applyFill="1" applyAlignment="1">
      <alignment horizontal="left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right"/>
    </xf>
    <xf numFmtId="0" fontId="30" fillId="0" borderId="0" xfId="0" applyFont="1" applyFill="1" applyAlignment="1">
      <alignment horizontal="right" vertical="center" wrapText="1"/>
    </xf>
    <xf numFmtId="0" fontId="30" fillId="0" borderId="1" xfId="9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textRotation="90" wrapText="1"/>
    </xf>
    <xf numFmtId="4" fontId="30" fillId="0" borderId="1" xfId="9" applyNumberFormat="1" applyFont="1" applyFill="1" applyBorder="1" applyAlignment="1">
      <alignment horizontal="center" vertical="center" textRotation="90" wrapText="1"/>
    </xf>
    <xf numFmtId="4" fontId="30" fillId="0" borderId="1" xfId="9" applyNumberFormat="1" applyFont="1" applyFill="1" applyBorder="1" applyAlignment="1">
      <alignment horizontal="center" vertical="center" wrapText="1"/>
    </xf>
    <xf numFmtId="0" fontId="30" fillId="0" borderId="1" xfId="9" applyNumberFormat="1" applyFont="1" applyFill="1" applyBorder="1" applyAlignment="1">
      <alignment horizontal="center" vertical="center" textRotation="90" wrapText="1"/>
    </xf>
    <xf numFmtId="0" fontId="30" fillId="0" borderId="1" xfId="9" applyNumberFormat="1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textRotation="90" wrapText="1"/>
    </xf>
    <xf numFmtId="0" fontId="1" fillId="0" borderId="6" xfId="23" applyFont="1" applyBorder="1" applyAlignment="1">
      <alignment wrapText="1"/>
    </xf>
    <xf numFmtId="0" fontId="1" fillId="0" borderId="5" xfId="23" applyFont="1" applyBorder="1" applyAlignment="1">
      <alignment wrapText="1"/>
    </xf>
    <xf numFmtId="0" fontId="1" fillId="0" borderId="6" xfId="23" applyFont="1" applyBorder="1" applyAlignment="1">
      <alignment horizontal="center" vertical="center" wrapText="1"/>
    </xf>
    <xf numFmtId="0" fontId="1" fillId="0" borderId="7" xfId="23" applyFont="1" applyBorder="1" applyAlignment="1">
      <alignment horizontal="center" vertical="center" wrapText="1"/>
    </xf>
    <xf numFmtId="0" fontId="1" fillId="0" borderId="5" xfId="23" applyFont="1" applyBorder="1" applyAlignment="1">
      <alignment horizontal="center" vertical="center" wrapText="1"/>
    </xf>
    <xf numFmtId="0" fontId="9" fillId="0" borderId="0" xfId="23" applyFont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top" wrapText="1"/>
    </xf>
    <xf numFmtId="0" fontId="1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7" fontId="23" fillId="0" borderId="6" xfId="0" applyNumberFormat="1" applyFont="1" applyFill="1" applyBorder="1" applyAlignment="1">
      <alignment horizontal="left"/>
    </xf>
    <xf numFmtId="167" fontId="23" fillId="0" borderId="5" xfId="0" applyNumberFormat="1" applyFont="1" applyFill="1" applyBorder="1" applyAlignment="1">
      <alignment horizontal="left"/>
    </xf>
    <xf numFmtId="0" fontId="23" fillId="0" borderId="1" xfId="0" applyFont="1" applyFill="1" applyBorder="1" applyAlignment="1">
      <alignment horizontal="center" vertical="center"/>
    </xf>
    <xf numFmtId="2" fontId="26" fillId="0" borderId="2" xfId="19" applyNumberFormat="1" applyFont="1" applyFill="1" applyBorder="1" applyAlignment="1">
      <alignment horizontal="center" vertical="center" textRotation="90" wrapText="1"/>
    </xf>
    <xf numFmtId="2" fontId="26" fillId="0" borderId="4" xfId="19" applyNumberFormat="1" applyFont="1" applyFill="1" applyBorder="1" applyAlignment="1">
      <alignment horizontal="center" vertical="center" textRotation="90" wrapText="1"/>
    </xf>
    <xf numFmtId="2" fontId="26" fillId="0" borderId="2" xfId="0" applyNumberFormat="1" applyFont="1" applyFill="1" applyBorder="1" applyAlignment="1">
      <alignment horizontal="center" vertical="center" textRotation="90" wrapText="1"/>
    </xf>
    <xf numFmtId="2" fontId="26" fillId="0" borderId="4" xfId="0" applyNumberFormat="1" applyFont="1" applyFill="1" applyBorder="1" applyAlignment="1">
      <alignment horizontal="center" vertical="center" textRotation="90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3" xfId="0" applyFont="1" applyFill="1" applyBorder="1" applyAlignment="1">
      <alignment horizontal="center" vertical="center" textRotation="90" wrapText="1"/>
    </xf>
    <xf numFmtId="0" fontId="26" fillId="0" borderId="4" xfId="0" applyFont="1" applyFill="1" applyBorder="1" applyAlignment="1">
      <alignment horizontal="center" vertical="center" textRotation="90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left" wrapText="1"/>
    </xf>
    <xf numFmtId="0" fontId="21" fillId="0" borderId="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4" fontId="26" fillId="0" borderId="4" xfId="0" applyNumberFormat="1" applyFont="1" applyFill="1" applyBorder="1" applyAlignment="1">
      <alignment horizontal="center" vertical="center" wrapText="1"/>
    </xf>
    <xf numFmtId="2" fontId="26" fillId="0" borderId="1" xfId="19" applyNumberFormat="1" applyFont="1" applyFill="1" applyBorder="1" applyAlignment="1">
      <alignment horizontal="center" vertical="center" wrapText="1"/>
    </xf>
    <xf numFmtId="0" fontId="26" fillId="0" borderId="6" xfId="29" applyFont="1" applyFill="1" applyBorder="1" applyAlignment="1">
      <alignment horizontal="center" vertical="center"/>
    </xf>
    <xf numFmtId="0" fontId="26" fillId="0" borderId="7" xfId="29" applyFont="1" applyFill="1" applyBorder="1" applyAlignment="1">
      <alignment horizontal="center" vertical="center"/>
    </xf>
    <xf numFmtId="0" fontId="26" fillId="0" borderId="5" xfId="29" applyFont="1" applyFill="1" applyBorder="1" applyAlignment="1">
      <alignment horizontal="center" vertical="center"/>
    </xf>
    <xf numFmtId="0" fontId="30" fillId="0" borderId="0" xfId="19" applyFont="1" applyFill="1" applyAlignment="1">
      <alignment horizontal="right" wrapText="1"/>
    </xf>
    <xf numFmtId="0" fontId="30" fillId="0" borderId="0" xfId="19" applyFont="1" applyFill="1" applyAlignment="1">
      <alignment horizontal="right" vertical="center" wrapText="1"/>
    </xf>
    <xf numFmtId="0" fontId="39" fillId="0" borderId="0" xfId="19" applyFont="1" applyFill="1" applyAlignment="1">
      <alignment horizontal="center" vertical="center" wrapText="1"/>
    </xf>
    <xf numFmtId="0" fontId="30" fillId="0" borderId="1" xfId="29" applyFont="1" applyFill="1" applyBorder="1" applyAlignment="1">
      <alignment horizontal="center" vertical="center" wrapText="1"/>
    </xf>
    <xf numFmtId="0" fontId="30" fillId="0" borderId="1" xfId="29" applyFont="1" applyFill="1" applyBorder="1" applyAlignment="1">
      <alignment vertical="center" wrapText="1"/>
    </xf>
    <xf numFmtId="0" fontId="30" fillId="0" borderId="1" xfId="29" applyFont="1" applyFill="1" applyBorder="1" applyAlignment="1">
      <alignment vertical="center"/>
    </xf>
    <xf numFmtId="0" fontId="30" fillId="0" borderId="1" xfId="29" applyFont="1" applyFill="1" applyBorder="1" applyAlignment="1">
      <alignment horizontal="center" vertical="center" textRotation="90" wrapText="1"/>
    </xf>
    <xf numFmtId="0" fontId="30" fillId="0" borderId="2" xfId="29" applyFont="1" applyFill="1" applyBorder="1" applyAlignment="1">
      <alignment horizontal="center" vertical="center" textRotation="90" wrapText="1"/>
    </xf>
    <xf numFmtId="0" fontId="30" fillId="0" borderId="3" xfId="29" applyFont="1" applyFill="1" applyBorder="1" applyAlignment="1">
      <alignment vertical="center" wrapText="1"/>
    </xf>
    <xf numFmtId="0" fontId="30" fillId="0" borderId="4" xfId="29" applyFont="1" applyFill="1" applyBorder="1" applyAlignment="1">
      <alignment vertical="center"/>
    </xf>
    <xf numFmtId="0" fontId="30" fillId="0" borderId="2" xfId="29" applyFont="1" applyFill="1" applyBorder="1" applyAlignment="1">
      <alignment horizontal="center" textRotation="90" wrapText="1"/>
    </xf>
    <xf numFmtId="0" fontId="30" fillId="0" borderId="3" xfId="29" applyFont="1" applyFill="1" applyBorder="1" applyAlignment="1">
      <alignment horizontal="center" wrapText="1"/>
    </xf>
    <xf numFmtId="0" fontId="30" fillId="0" borderId="4" xfId="29" applyFont="1" applyFill="1" applyBorder="1" applyAlignment="1">
      <alignment horizontal="center" wrapText="1"/>
    </xf>
    <xf numFmtId="0" fontId="30" fillId="0" borderId="3" xfId="29" applyFont="1" applyFill="1" applyBorder="1" applyAlignment="1">
      <alignment horizontal="center" textRotation="90" wrapText="1"/>
    </xf>
    <xf numFmtId="0" fontId="30" fillId="0" borderId="4" xfId="29" applyFont="1" applyFill="1" applyBorder="1" applyAlignment="1">
      <alignment horizontal="center" textRotation="90" wrapText="1"/>
    </xf>
    <xf numFmtId="0" fontId="30" fillId="0" borderId="2" xfId="29" applyFont="1" applyFill="1" applyBorder="1" applyAlignment="1">
      <alignment horizontal="center" vertical="center" wrapText="1"/>
    </xf>
    <xf numFmtId="0" fontId="30" fillId="0" borderId="3" xfId="29" applyFont="1" applyFill="1" applyBorder="1" applyAlignment="1">
      <alignment horizontal="center" vertical="center" wrapText="1"/>
    </xf>
    <xf numFmtId="0" fontId="30" fillId="0" borderId="4" xfId="29" applyFont="1" applyFill="1" applyBorder="1" applyAlignment="1">
      <alignment horizontal="center" vertical="center" wrapText="1"/>
    </xf>
    <xf numFmtId="0" fontId="30" fillId="0" borderId="1" xfId="29" applyFont="1" applyFill="1" applyBorder="1" applyAlignment="1">
      <alignment horizontal="center" textRotation="90" wrapText="1"/>
    </xf>
    <xf numFmtId="0" fontId="30" fillId="0" borderId="1" xfId="29" applyFont="1" applyFill="1" applyBorder="1" applyAlignment="1">
      <alignment horizontal="center" wrapText="1"/>
    </xf>
    <xf numFmtId="0" fontId="30" fillId="0" borderId="4" xfId="29" applyFont="1" applyFill="1" applyBorder="1" applyAlignment="1">
      <alignment horizontal="center" vertical="center"/>
    </xf>
    <xf numFmtId="0" fontId="30" fillId="0" borderId="4" xfId="29" applyFont="1" applyFill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19" applyFont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</cellXfs>
  <cellStyles count="32">
    <cellStyle name="Excel Built-in Normal" xfId="10" xr:uid="{00000000-0005-0000-0000-000000000000}"/>
    <cellStyle name="Excel Built-in Normal 1" xfId="22" xr:uid="{00000000-0005-0000-0000-000001000000}"/>
    <cellStyle name="Excel Built-in Normal 2 2" xfId="14" xr:uid="{00000000-0005-0000-0000-000002000000}"/>
    <cellStyle name="Обычный" xfId="0" builtinId="0"/>
    <cellStyle name="Обычный 10" xfId="11" xr:uid="{00000000-0005-0000-0000-000004000000}"/>
    <cellStyle name="Обычный 11" xfId="19" xr:uid="{00000000-0005-0000-0000-000005000000}"/>
    <cellStyle name="Обычный 13" xfId="17" xr:uid="{00000000-0005-0000-0000-000006000000}"/>
    <cellStyle name="Обычный 14" xfId="1" xr:uid="{00000000-0005-0000-0000-000007000000}"/>
    <cellStyle name="Обычный 15" xfId="24" xr:uid="{00000000-0005-0000-0000-000008000000}"/>
    <cellStyle name="Обычный 17" xfId="6" xr:uid="{00000000-0005-0000-0000-000009000000}"/>
    <cellStyle name="Обычный 18" xfId="4" xr:uid="{00000000-0005-0000-0000-00000A000000}"/>
    <cellStyle name="Обычный 19" xfId="5" xr:uid="{00000000-0005-0000-0000-00000B000000}"/>
    <cellStyle name="Обычный 2" xfId="9" xr:uid="{00000000-0005-0000-0000-00000C000000}"/>
    <cellStyle name="Обычный 2 10" xfId="12" xr:uid="{00000000-0005-0000-0000-00000D000000}"/>
    <cellStyle name="Обычный 2 2 2" xfId="16" xr:uid="{00000000-0005-0000-0000-00000E000000}"/>
    <cellStyle name="Обычный 2 3" xfId="26" xr:uid="{00000000-0005-0000-0000-00000F000000}"/>
    <cellStyle name="Обычный 2 8" xfId="29" xr:uid="{00000000-0005-0000-0000-000010000000}"/>
    <cellStyle name="Обычный 21" xfId="7" xr:uid="{00000000-0005-0000-0000-000011000000}"/>
    <cellStyle name="Обычный 3" xfId="2" xr:uid="{00000000-0005-0000-0000-000012000000}"/>
    <cellStyle name="Обычный 3 16" xfId="8" xr:uid="{00000000-0005-0000-0000-000013000000}"/>
    <cellStyle name="Обычный 3 2" xfId="27" xr:uid="{00000000-0005-0000-0000-000014000000}"/>
    <cellStyle name="Обычный 3 3" xfId="15" xr:uid="{00000000-0005-0000-0000-000015000000}"/>
    <cellStyle name="Обычный 4" xfId="3" xr:uid="{00000000-0005-0000-0000-000016000000}"/>
    <cellStyle name="Обычный 4 2" xfId="13" xr:uid="{00000000-0005-0000-0000-000017000000}"/>
    <cellStyle name="Обычный 4 2 2 2" xfId="23" xr:uid="{00000000-0005-0000-0000-000018000000}"/>
    <cellStyle name="Обычный 5" xfId="20" xr:uid="{00000000-0005-0000-0000-000019000000}"/>
    <cellStyle name="Обычный 6" xfId="18" xr:uid="{00000000-0005-0000-0000-00001A000000}"/>
    <cellStyle name="Обычный 8" xfId="30" xr:uid="{00000000-0005-0000-0000-00001B000000}"/>
    <cellStyle name="Обычный 9" xfId="21" xr:uid="{00000000-0005-0000-0000-00001C000000}"/>
    <cellStyle name="Обычный_Лист1" xfId="28" xr:uid="{00000000-0005-0000-0000-00001D000000}"/>
    <cellStyle name="Финансовый" xfId="31" builtinId="3"/>
    <cellStyle name="Финансовый 2" xfId="25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218"/>
  <sheetViews>
    <sheetView tabSelected="1" view="pageBreakPreview" topLeftCell="B1" zoomScale="20" zoomScaleNormal="20" zoomScaleSheetLayoutView="20" workbookViewId="0">
      <selection activeCell="G152" sqref="G152"/>
    </sheetView>
  </sheetViews>
  <sheetFormatPr defaultColWidth="9.140625" defaultRowHeight="15" x14ac:dyDescent="0.25"/>
  <cols>
    <col min="1" max="1" width="7.28515625" style="20" hidden="1" customWidth="1"/>
    <col min="2" max="2" width="17" style="21" bestFit="1" customWidth="1"/>
    <col min="3" max="3" width="255.7109375" style="22" bestFit="1" customWidth="1"/>
    <col min="4" max="4" width="70.85546875" style="20" customWidth="1"/>
    <col min="5" max="5" width="56.5703125" style="20" customWidth="1"/>
    <col min="6" max="6" width="53" style="20" customWidth="1"/>
    <col min="7" max="8" width="58.7109375" style="20" customWidth="1"/>
    <col min="9" max="9" width="58" style="20" customWidth="1"/>
    <col min="10" max="10" width="51.5703125" style="20" customWidth="1"/>
    <col min="11" max="11" width="32.28515625" style="84" customWidth="1"/>
    <col min="12" max="12" width="68.7109375" style="20" customWidth="1"/>
    <col min="13" max="13" width="55.85546875" style="20" customWidth="1"/>
    <col min="14" max="14" width="77.42578125" style="20" customWidth="1"/>
    <col min="15" max="15" width="43" style="20" customWidth="1"/>
    <col min="16" max="16" width="67.5703125" style="20" customWidth="1"/>
    <col min="17" max="17" width="51.5703125" style="20" customWidth="1"/>
    <col min="18" max="18" width="64.42578125" style="20" customWidth="1"/>
    <col min="19" max="19" width="34.42578125" style="20" customWidth="1"/>
    <col min="20" max="20" width="69" style="20" customWidth="1"/>
    <col min="21" max="21" width="60.140625" style="20" customWidth="1"/>
    <col min="22" max="22" width="58.7109375" style="20" customWidth="1"/>
    <col min="23" max="23" width="75.85546875" style="20" customWidth="1"/>
    <col min="24" max="24" width="56.5703125" style="20" customWidth="1"/>
    <col min="25" max="25" width="38" style="20" customWidth="1"/>
    <col min="26" max="26" width="57.28515625" style="20" customWidth="1"/>
    <col min="27" max="27" width="68.7109375" style="20" customWidth="1"/>
    <col min="28" max="28" width="58.7109375" style="20" customWidth="1"/>
    <col min="29" max="30" width="58" style="20" bestFit="1" customWidth="1"/>
    <col min="31" max="31" width="55.140625" style="20" customWidth="1"/>
    <col min="32" max="32" width="51" style="21" customWidth="1"/>
    <col min="33" max="33" width="42.28515625" style="21" customWidth="1"/>
    <col min="34" max="34" width="48.7109375" style="21" customWidth="1"/>
    <col min="35" max="48" width="9.140625" style="20" hidden="1" customWidth="1"/>
    <col min="49" max="49" width="68.42578125" style="20" hidden="1" customWidth="1"/>
    <col min="50" max="75" width="9.140625" style="20" hidden="1" customWidth="1"/>
    <col min="76" max="77" width="9.140625" style="20"/>
    <col min="78" max="78" width="66.28515625" style="20" hidden="1" customWidth="1"/>
    <col min="79" max="79" width="0" style="20" hidden="1" customWidth="1"/>
    <col min="80" max="80" width="66.5703125" style="20" hidden="1" customWidth="1"/>
    <col min="81" max="81" width="74.140625" style="20" hidden="1" customWidth="1"/>
    <col min="82" max="82" width="55.5703125" style="20" hidden="1" customWidth="1"/>
    <col min="83" max="83" width="45.140625" style="20" hidden="1" customWidth="1"/>
    <col min="84" max="84" width="22.28515625" style="20" hidden="1" customWidth="1"/>
    <col min="85" max="86" width="0" style="20" hidden="1" customWidth="1"/>
    <col min="87" max="16384" width="9.140625" style="20"/>
  </cols>
  <sheetData>
    <row r="1" spans="2:34" ht="91.5" x14ac:dyDescent="1.25">
      <c r="B1" s="17"/>
      <c r="C1" s="18"/>
      <c r="D1" s="19"/>
      <c r="E1" s="19"/>
      <c r="F1" s="19"/>
      <c r="G1" s="19"/>
      <c r="H1" s="19"/>
      <c r="I1" s="19"/>
      <c r="J1" s="19"/>
      <c r="K1" s="81"/>
      <c r="L1" s="19"/>
      <c r="M1" s="19"/>
      <c r="N1" s="19"/>
      <c r="O1" s="19"/>
      <c r="P1" s="19"/>
      <c r="Q1" s="19"/>
      <c r="R1" s="19"/>
      <c r="S1" s="19"/>
      <c r="T1" s="19"/>
      <c r="U1" s="19"/>
      <c r="V1" s="155"/>
      <c r="W1" s="194" t="s">
        <v>1003</v>
      </c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</row>
    <row r="2" spans="2:34" ht="143.25" customHeight="1" x14ac:dyDescent="0.45">
      <c r="B2" s="17"/>
      <c r="C2" s="18"/>
      <c r="D2" s="19"/>
      <c r="E2" s="19"/>
      <c r="F2" s="19"/>
      <c r="G2" s="19"/>
      <c r="H2" s="19"/>
      <c r="I2" s="19"/>
      <c r="J2" s="19"/>
      <c r="K2" s="81"/>
      <c r="L2" s="19"/>
      <c r="M2" s="19"/>
      <c r="N2" s="19"/>
      <c r="O2" s="19"/>
      <c r="P2" s="19"/>
      <c r="Q2" s="19"/>
      <c r="R2" s="19"/>
      <c r="S2" s="19"/>
      <c r="T2" s="19"/>
      <c r="U2" s="19"/>
      <c r="V2" s="195" t="s">
        <v>1004</v>
      </c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</row>
    <row r="3" spans="2:34" ht="154.5" customHeight="1" x14ac:dyDescent="1.25">
      <c r="B3" s="27"/>
      <c r="C3" s="28"/>
      <c r="D3" s="155"/>
      <c r="E3" s="155"/>
      <c r="F3" s="155"/>
      <c r="G3" s="155"/>
      <c r="H3" s="155"/>
      <c r="I3" s="155"/>
      <c r="J3" s="155"/>
      <c r="K3" s="82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95" t="s">
        <v>1005</v>
      </c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</row>
    <row r="4" spans="2:34" ht="90" x14ac:dyDescent="1.1499999999999999">
      <c r="B4" s="196" t="s">
        <v>1006</v>
      </c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</row>
    <row r="5" spans="2:34" ht="90" x14ac:dyDescent="0.25">
      <c r="B5" s="197" t="s">
        <v>1007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</row>
    <row r="6" spans="2:34" ht="90" x14ac:dyDescent="0.25">
      <c r="B6" s="197" t="s">
        <v>1011</v>
      </c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</row>
    <row r="7" spans="2:34" x14ac:dyDescent="0.25">
      <c r="B7" s="193" t="s">
        <v>1008</v>
      </c>
      <c r="C7" s="191" t="s">
        <v>1034</v>
      </c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</row>
    <row r="8" spans="2:34" ht="117.75" customHeight="1" x14ac:dyDescent="0.25">
      <c r="B8" s="193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  <c r="AH8" s="191"/>
    </row>
    <row r="9" spans="2:34" ht="117.75" customHeight="1" x14ac:dyDescent="0.25">
      <c r="B9" s="154" t="s">
        <v>1009</v>
      </c>
      <c r="C9" s="191" t="s">
        <v>1010</v>
      </c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</row>
    <row r="11" spans="2:34" ht="90.75" customHeight="1" x14ac:dyDescent="0.25">
      <c r="B11" s="186" t="s">
        <v>6</v>
      </c>
      <c r="C11" s="186" t="s">
        <v>7</v>
      </c>
      <c r="D11" s="185" t="s">
        <v>8</v>
      </c>
      <c r="E11" s="186" t="s">
        <v>1012</v>
      </c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192" t="s">
        <v>9</v>
      </c>
      <c r="V11" s="192"/>
      <c r="W11" s="192"/>
      <c r="X11" s="192"/>
      <c r="Y11" s="192"/>
      <c r="Z11" s="192"/>
      <c r="AA11" s="192"/>
      <c r="AB11" s="192"/>
      <c r="AC11" s="192"/>
      <c r="AD11" s="192"/>
      <c r="AE11" s="192"/>
      <c r="AF11" s="188" t="s">
        <v>10</v>
      </c>
      <c r="AG11" s="188" t="s">
        <v>11</v>
      </c>
      <c r="AH11" s="188" t="s">
        <v>12</v>
      </c>
    </row>
    <row r="12" spans="2:34" ht="90.75" customHeight="1" x14ac:dyDescent="0.25">
      <c r="B12" s="186"/>
      <c r="C12" s="186"/>
      <c r="D12" s="185"/>
      <c r="E12" s="186" t="s">
        <v>13</v>
      </c>
      <c r="F12" s="186"/>
      <c r="G12" s="186"/>
      <c r="H12" s="186"/>
      <c r="I12" s="186"/>
      <c r="J12" s="186"/>
      <c r="K12" s="186" t="s">
        <v>14</v>
      </c>
      <c r="L12" s="186"/>
      <c r="M12" s="186" t="s">
        <v>15</v>
      </c>
      <c r="N12" s="186"/>
      <c r="O12" s="186" t="s">
        <v>16</v>
      </c>
      <c r="P12" s="186"/>
      <c r="Q12" s="186" t="s">
        <v>17</v>
      </c>
      <c r="R12" s="186"/>
      <c r="S12" s="186" t="s">
        <v>18</v>
      </c>
      <c r="T12" s="186"/>
      <c r="U12" s="190" t="s">
        <v>19</v>
      </c>
      <c r="V12" s="190" t="s">
        <v>20</v>
      </c>
      <c r="W12" s="190" t="s">
        <v>21</v>
      </c>
      <c r="X12" s="190" t="s">
        <v>22</v>
      </c>
      <c r="Y12" s="190" t="s">
        <v>23</v>
      </c>
      <c r="Z12" s="190" t="s">
        <v>24</v>
      </c>
      <c r="AA12" s="190" t="s">
        <v>25</v>
      </c>
      <c r="AB12" s="190" t="s">
        <v>26</v>
      </c>
      <c r="AC12" s="190" t="s">
        <v>27</v>
      </c>
      <c r="AD12" s="189" t="s">
        <v>28</v>
      </c>
      <c r="AE12" s="190" t="s">
        <v>29</v>
      </c>
      <c r="AF12" s="188"/>
      <c r="AG12" s="188"/>
      <c r="AH12" s="188"/>
    </row>
    <row r="13" spans="2:34" ht="18.75" customHeight="1" x14ac:dyDescent="0.25">
      <c r="B13" s="186"/>
      <c r="C13" s="186"/>
      <c r="D13" s="185"/>
      <c r="E13" s="188" t="s">
        <v>30</v>
      </c>
      <c r="F13" s="188" t="s">
        <v>31</v>
      </c>
      <c r="G13" s="188" t="s">
        <v>32</v>
      </c>
      <c r="H13" s="188" t="s">
        <v>33</v>
      </c>
      <c r="I13" s="188" t="s">
        <v>34</v>
      </c>
      <c r="J13" s="188" t="s">
        <v>35</v>
      </c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90"/>
      <c r="V13" s="190"/>
      <c r="W13" s="190"/>
      <c r="X13" s="190"/>
      <c r="Y13" s="190"/>
      <c r="Z13" s="190"/>
      <c r="AA13" s="190"/>
      <c r="AB13" s="190"/>
      <c r="AC13" s="190"/>
      <c r="AD13" s="189"/>
      <c r="AE13" s="190"/>
      <c r="AF13" s="188"/>
      <c r="AG13" s="188"/>
      <c r="AH13" s="188"/>
    </row>
    <row r="14" spans="2:34" ht="18.75" customHeight="1" x14ac:dyDescent="0.25">
      <c r="B14" s="186"/>
      <c r="C14" s="186"/>
      <c r="D14" s="185"/>
      <c r="E14" s="188"/>
      <c r="F14" s="188"/>
      <c r="G14" s="188"/>
      <c r="H14" s="188"/>
      <c r="I14" s="188"/>
      <c r="J14" s="188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90"/>
      <c r="V14" s="190"/>
      <c r="W14" s="190"/>
      <c r="X14" s="190"/>
      <c r="Y14" s="190"/>
      <c r="Z14" s="190"/>
      <c r="AA14" s="190"/>
      <c r="AB14" s="190"/>
      <c r="AC14" s="190"/>
      <c r="AD14" s="189"/>
      <c r="AE14" s="190"/>
      <c r="AF14" s="188"/>
      <c r="AG14" s="188"/>
      <c r="AH14" s="188"/>
    </row>
    <row r="15" spans="2:34" ht="18.75" customHeight="1" x14ac:dyDescent="0.25">
      <c r="B15" s="186"/>
      <c r="C15" s="186"/>
      <c r="D15" s="185"/>
      <c r="E15" s="188"/>
      <c r="F15" s="188"/>
      <c r="G15" s="188"/>
      <c r="H15" s="188"/>
      <c r="I15" s="188"/>
      <c r="J15" s="188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90"/>
      <c r="V15" s="190"/>
      <c r="W15" s="190"/>
      <c r="X15" s="190"/>
      <c r="Y15" s="190"/>
      <c r="Z15" s="190"/>
      <c r="AA15" s="190"/>
      <c r="AB15" s="190"/>
      <c r="AC15" s="190"/>
      <c r="AD15" s="189"/>
      <c r="AE15" s="190"/>
      <c r="AF15" s="188"/>
      <c r="AG15" s="188"/>
      <c r="AH15" s="188"/>
    </row>
    <row r="16" spans="2:34" ht="409.5" customHeight="1" x14ac:dyDescent="0.25">
      <c r="B16" s="186"/>
      <c r="C16" s="186"/>
      <c r="D16" s="185"/>
      <c r="E16" s="188"/>
      <c r="F16" s="188"/>
      <c r="G16" s="188"/>
      <c r="H16" s="188"/>
      <c r="I16" s="188"/>
      <c r="J16" s="188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90"/>
      <c r="V16" s="190"/>
      <c r="W16" s="190"/>
      <c r="X16" s="190"/>
      <c r="Y16" s="190"/>
      <c r="Z16" s="190"/>
      <c r="AA16" s="190"/>
      <c r="AB16" s="190"/>
      <c r="AC16" s="190"/>
      <c r="AD16" s="189"/>
      <c r="AE16" s="190"/>
      <c r="AF16" s="188"/>
      <c r="AG16" s="188"/>
      <c r="AH16" s="188"/>
    </row>
    <row r="17" spans="1:84" ht="80.25" customHeight="1" x14ac:dyDescent="0.25">
      <c r="B17" s="187"/>
      <c r="C17" s="187"/>
      <c r="D17" s="151" t="s">
        <v>36</v>
      </c>
      <c r="E17" s="151" t="s">
        <v>36</v>
      </c>
      <c r="F17" s="151" t="s">
        <v>36</v>
      </c>
      <c r="G17" s="151" t="s">
        <v>36</v>
      </c>
      <c r="H17" s="151" t="s">
        <v>36</v>
      </c>
      <c r="I17" s="151" t="s">
        <v>36</v>
      </c>
      <c r="J17" s="151" t="s">
        <v>36</v>
      </c>
      <c r="K17" s="83" t="s">
        <v>37</v>
      </c>
      <c r="L17" s="152" t="s">
        <v>36</v>
      </c>
      <c r="M17" s="152" t="s">
        <v>38</v>
      </c>
      <c r="N17" s="152" t="s">
        <v>36</v>
      </c>
      <c r="O17" s="152" t="s">
        <v>38</v>
      </c>
      <c r="P17" s="152" t="s">
        <v>36</v>
      </c>
      <c r="Q17" s="152" t="s">
        <v>38</v>
      </c>
      <c r="R17" s="152" t="s">
        <v>36</v>
      </c>
      <c r="S17" s="152" t="s">
        <v>39</v>
      </c>
      <c r="T17" s="152" t="s">
        <v>36</v>
      </c>
      <c r="U17" s="152" t="s">
        <v>36</v>
      </c>
      <c r="V17" s="153" t="s">
        <v>36</v>
      </c>
      <c r="W17" s="152" t="s">
        <v>36</v>
      </c>
      <c r="X17" s="152" t="s">
        <v>36</v>
      </c>
      <c r="Y17" s="151" t="s">
        <v>36</v>
      </c>
      <c r="Z17" s="152" t="s">
        <v>36</v>
      </c>
      <c r="AA17" s="152" t="s">
        <v>36</v>
      </c>
      <c r="AB17" s="152" t="s">
        <v>36</v>
      </c>
      <c r="AC17" s="152" t="s">
        <v>36</v>
      </c>
      <c r="AD17" s="151" t="s">
        <v>36</v>
      </c>
      <c r="AE17" s="152" t="s">
        <v>36</v>
      </c>
      <c r="AF17" s="188"/>
      <c r="AG17" s="188"/>
      <c r="AH17" s="188"/>
    </row>
    <row r="18" spans="1:84" ht="59.25" customHeight="1" x14ac:dyDescent="0.25">
      <c r="B18" s="152">
        <v>1</v>
      </c>
      <c r="C18" s="152">
        <v>2</v>
      </c>
      <c r="D18" s="152">
        <v>3</v>
      </c>
      <c r="E18" s="152">
        <v>4</v>
      </c>
      <c r="F18" s="152">
        <v>5</v>
      </c>
      <c r="G18" s="152">
        <v>6</v>
      </c>
      <c r="H18" s="152">
        <v>7</v>
      </c>
      <c r="I18" s="152">
        <v>8</v>
      </c>
      <c r="J18" s="152">
        <v>9</v>
      </c>
      <c r="K18" s="83">
        <v>10</v>
      </c>
      <c r="L18" s="152">
        <v>11</v>
      </c>
      <c r="M18" s="152">
        <v>12</v>
      </c>
      <c r="N18" s="152">
        <v>13</v>
      </c>
      <c r="O18" s="152">
        <v>14</v>
      </c>
      <c r="P18" s="152">
        <v>15</v>
      </c>
      <c r="Q18" s="152">
        <v>16</v>
      </c>
      <c r="R18" s="152">
        <v>17</v>
      </c>
      <c r="S18" s="152">
        <v>18</v>
      </c>
      <c r="T18" s="152">
        <v>19</v>
      </c>
      <c r="U18" s="152">
        <v>20</v>
      </c>
      <c r="V18" s="152">
        <v>21</v>
      </c>
      <c r="W18" s="152">
        <v>22</v>
      </c>
      <c r="X18" s="152">
        <v>23</v>
      </c>
      <c r="Y18" s="152">
        <v>24</v>
      </c>
      <c r="Z18" s="152">
        <v>25</v>
      </c>
      <c r="AA18" s="152">
        <v>26</v>
      </c>
      <c r="AB18" s="152">
        <v>27</v>
      </c>
      <c r="AC18" s="152">
        <v>28</v>
      </c>
      <c r="AD18" s="152">
        <v>29</v>
      </c>
      <c r="AE18" s="152">
        <v>30</v>
      </c>
      <c r="AF18" s="152">
        <v>31</v>
      </c>
      <c r="AG18" s="152">
        <v>32</v>
      </c>
      <c r="AH18" s="152">
        <v>33</v>
      </c>
    </row>
    <row r="19" spans="1:84" ht="99" customHeight="1" x14ac:dyDescent="0.85">
      <c r="B19" s="24" t="s">
        <v>777</v>
      </c>
      <c r="C19" s="162"/>
      <c r="D19" s="30">
        <f t="shared" ref="D19:AE19" si="0">D20+D552+D946</f>
        <v>3280096040.7600002</v>
      </c>
      <c r="E19" s="30">
        <f t="shared" si="0"/>
        <v>10949609.129999999</v>
      </c>
      <c r="F19" s="30">
        <f t="shared" si="0"/>
        <v>14716334.65</v>
      </c>
      <c r="G19" s="30">
        <f t="shared" si="0"/>
        <v>110289420.17000002</v>
      </c>
      <c r="H19" s="30">
        <f t="shared" si="0"/>
        <v>19970556.939999998</v>
      </c>
      <c r="I19" s="30">
        <f t="shared" si="0"/>
        <v>38599540.789999999</v>
      </c>
      <c r="J19" s="30">
        <f t="shared" si="0"/>
        <v>0</v>
      </c>
      <c r="K19" s="163">
        <f t="shared" si="0"/>
        <v>173</v>
      </c>
      <c r="L19" s="30">
        <f t="shared" si="0"/>
        <v>336467620.06000006</v>
      </c>
      <c r="M19" s="30">
        <f t="shared" si="0"/>
        <v>489377.6816951129</v>
      </c>
      <c r="N19" s="30">
        <f t="shared" si="0"/>
        <v>2205173833.7199993</v>
      </c>
      <c r="O19" s="30">
        <f t="shared" si="0"/>
        <v>2803.3</v>
      </c>
      <c r="P19" s="30">
        <f t="shared" si="0"/>
        <v>9961499.379999999</v>
      </c>
      <c r="Q19" s="30">
        <f t="shared" si="0"/>
        <v>116742.03</v>
      </c>
      <c r="R19" s="30">
        <f t="shared" si="0"/>
        <v>348299281.63</v>
      </c>
      <c r="S19" s="30">
        <f t="shared" si="0"/>
        <v>1187.3699999999999</v>
      </c>
      <c r="T19" s="30">
        <f t="shared" si="0"/>
        <v>25888461.170000002</v>
      </c>
      <c r="U19" s="30">
        <f t="shared" si="0"/>
        <v>34873465.270000003</v>
      </c>
      <c r="V19" s="30">
        <f t="shared" si="0"/>
        <v>501926.25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41925263.110000007</v>
      </c>
      <c r="AD19" s="30">
        <f t="shared" si="0"/>
        <v>79479228.49000001</v>
      </c>
      <c r="AE19" s="30">
        <f t="shared" si="0"/>
        <v>3000000</v>
      </c>
      <c r="AF19" s="72" t="s">
        <v>776</v>
      </c>
      <c r="AG19" s="72" t="s">
        <v>776</v>
      </c>
      <c r="AH19" s="89" t="s">
        <v>776</v>
      </c>
      <c r="BZ19" s="71">
        <v>3277602434.1900005</v>
      </c>
    </row>
    <row r="20" spans="1:84" ht="87.75" customHeight="1" x14ac:dyDescent="0.85">
      <c r="B20" s="24" t="s">
        <v>778</v>
      </c>
      <c r="C20" s="162"/>
      <c r="D20" s="67">
        <f t="shared" ref="D20:AE20" si="1">D21+D122+D155+D196+D230+D237+D265+D280+D273+D287+D290+D296+D302+D304+D322+D340+D347+D354+D351+D358+D362+D364+D383+D380+D385+D387+D392+D395+D397+D402+D411+D404+D413+D415+D421+D423+D428+D436+D442+D445+D455+D459+D461+D465+D467+D469+D475+D487+D496+D500+D506+D508+D510+D513+D515+D517+D524+D526+D529+D531+D540+D546+D550+D285+D463+D498+D457</f>
        <v>1600719184.4000001</v>
      </c>
      <c r="E20" s="67">
        <f t="shared" si="1"/>
        <v>9014522.7399999984</v>
      </c>
      <c r="F20" s="67">
        <f t="shared" si="1"/>
        <v>11102098.74</v>
      </c>
      <c r="G20" s="67">
        <f t="shared" si="1"/>
        <v>94959262.530000016</v>
      </c>
      <c r="H20" s="67">
        <f t="shared" si="1"/>
        <v>14902904.479999999</v>
      </c>
      <c r="I20" s="67">
        <f t="shared" si="1"/>
        <v>27690969.599999998</v>
      </c>
      <c r="J20" s="67">
        <f t="shared" si="1"/>
        <v>0</v>
      </c>
      <c r="K20" s="164">
        <f t="shared" si="1"/>
        <v>123</v>
      </c>
      <c r="L20" s="67">
        <f t="shared" si="1"/>
        <v>230093512</v>
      </c>
      <c r="M20" s="67">
        <f t="shared" si="1"/>
        <v>206593.54712089995</v>
      </c>
      <c r="N20" s="67">
        <f t="shared" si="1"/>
        <v>891057142.54999971</v>
      </c>
      <c r="O20" s="67">
        <f t="shared" si="1"/>
        <v>2379.3000000000002</v>
      </c>
      <c r="P20" s="67">
        <f t="shared" si="1"/>
        <v>8277181.1600000001</v>
      </c>
      <c r="Q20" s="67">
        <f t="shared" si="1"/>
        <v>77157.759999999995</v>
      </c>
      <c r="R20" s="67">
        <f t="shared" si="1"/>
        <v>231577241.13</v>
      </c>
      <c r="S20" s="67">
        <f t="shared" si="1"/>
        <v>647.6</v>
      </c>
      <c r="T20" s="67">
        <f t="shared" si="1"/>
        <v>10693046.680000002</v>
      </c>
      <c r="U20" s="67">
        <f t="shared" si="1"/>
        <v>27994831.719999999</v>
      </c>
      <c r="V20" s="67">
        <f t="shared" si="1"/>
        <v>501926.25</v>
      </c>
      <c r="W20" s="67">
        <f t="shared" si="1"/>
        <v>0</v>
      </c>
      <c r="X20" s="67">
        <f t="shared" si="1"/>
        <v>0</v>
      </c>
      <c r="Y20" s="67">
        <f t="shared" si="1"/>
        <v>0</v>
      </c>
      <c r="Z20" s="67">
        <f t="shared" si="1"/>
        <v>0</v>
      </c>
      <c r="AA20" s="67">
        <f t="shared" si="1"/>
        <v>0</v>
      </c>
      <c r="AB20" s="67">
        <f t="shared" si="1"/>
        <v>0</v>
      </c>
      <c r="AC20" s="67">
        <f t="shared" si="1"/>
        <v>19554795.590000007</v>
      </c>
      <c r="AD20" s="67">
        <f t="shared" si="1"/>
        <v>21019749.230000004</v>
      </c>
      <c r="AE20" s="67">
        <f t="shared" si="1"/>
        <v>2280000</v>
      </c>
      <c r="AF20" s="72" t="s">
        <v>776</v>
      </c>
      <c r="AG20" s="72" t="s">
        <v>776</v>
      </c>
      <c r="AH20" s="89" t="s">
        <v>776</v>
      </c>
      <c r="BZ20" s="71">
        <v>1686794801.2800004</v>
      </c>
    </row>
    <row r="21" spans="1:84" ht="61.5" x14ac:dyDescent="0.85">
      <c r="B21" s="24" t="s">
        <v>1119</v>
      </c>
      <c r="C21" s="165"/>
      <c r="D21" s="67">
        <f t="shared" ref="D21:AE21" si="2">SUM(D22:D121)</f>
        <v>330739075.22000003</v>
      </c>
      <c r="E21" s="67">
        <f t="shared" si="2"/>
        <v>138685.66</v>
      </c>
      <c r="F21" s="67">
        <f t="shared" si="2"/>
        <v>0</v>
      </c>
      <c r="G21" s="67">
        <f t="shared" si="2"/>
        <v>600000</v>
      </c>
      <c r="H21" s="67">
        <f t="shared" si="2"/>
        <v>279243.65999999997</v>
      </c>
      <c r="I21" s="67">
        <f t="shared" si="2"/>
        <v>0</v>
      </c>
      <c r="J21" s="67">
        <f t="shared" si="2"/>
        <v>0</v>
      </c>
      <c r="K21" s="164">
        <f t="shared" si="2"/>
        <v>30</v>
      </c>
      <c r="L21" s="67">
        <f t="shared" si="2"/>
        <v>60248921.530000001</v>
      </c>
      <c r="M21" s="67">
        <f t="shared" si="2"/>
        <v>53711.549999999996</v>
      </c>
      <c r="N21" s="67">
        <f t="shared" si="2"/>
        <v>196960716.88</v>
      </c>
      <c r="O21" s="67">
        <f t="shared" si="2"/>
        <v>780</v>
      </c>
      <c r="P21" s="67">
        <f t="shared" si="2"/>
        <v>1041700</v>
      </c>
      <c r="Q21" s="67">
        <f t="shared" si="2"/>
        <v>21014.159999999996</v>
      </c>
      <c r="R21" s="67">
        <f t="shared" si="2"/>
        <v>60316432.790000007</v>
      </c>
      <c r="S21" s="67">
        <f t="shared" si="2"/>
        <v>0</v>
      </c>
      <c r="T21" s="67">
        <f t="shared" si="2"/>
        <v>0</v>
      </c>
      <c r="U21" s="67">
        <f t="shared" si="2"/>
        <v>4707820.9000000004</v>
      </c>
      <c r="V21" s="67">
        <f t="shared" si="2"/>
        <v>0</v>
      </c>
      <c r="W21" s="67">
        <f t="shared" si="2"/>
        <v>0</v>
      </c>
      <c r="X21" s="67">
        <f t="shared" si="2"/>
        <v>0</v>
      </c>
      <c r="Y21" s="67">
        <f t="shared" si="2"/>
        <v>0</v>
      </c>
      <c r="Z21" s="67">
        <f t="shared" si="2"/>
        <v>0</v>
      </c>
      <c r="AA21" s="67">
        <f t="shared" si="2"/>
        <v>0</v>
      </c>
      <c r="AB21" s="67">
        <f t="shared" si="2"/>
        <v>0</v>
      </c>
      <c r="AC21" s="67">
        <f t="shared" si="2"/>
        <v>3915374.86</v>
      </c>
      <c r="AD21" s="67">
        <f t="shared" si="2"/>
        <v>2530178.9400000004</v>
      </c>
      <c r="AE21" s="67">
        <f t="shared" si="2"/>
        <v>0</v>
      </c>
      <c r="AF21" s="72" t="s">
        <v>776</v>
      </c>
      <c r="AG21" s="72" t="s">
        <v>776</v>
      </c>
      <c r="AH21" s="89" t="s">
        <v>776</v>
      </c>
      <c r="BZ21" s="71">
        <v>383462452.64000016</v>
      </c>
    </row>
    <row r="22" spans="1:84" ht="61.5" x14ac:dyDescent="0.85">
      <c r="A22" s="20">
        <v>1</v>
      </c>
      <c r="B22" s="66">
        <f>SUBTOTAL(103,$A$22:A22)</f>
        <v>1</v>
      </c>
      <c r="C22" s="24" t="s">
        <v>490</v>
      </c>
      <c r="D22" s="31">
        <f>E22+F22+G22+H22+I22+J22+L22+N22+P22+R22+T22+U22+V22+W22+X22+Y22+Z22+AA22+AB22+AC22+AD22+AE22</f>
        <v>2233840.11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3">
        <v>0</v>
      </c>
      <c r="L22" s="31">
        <v>0</v>
      </c>
      <c r="M22" s="31">
        <v>433.51</v>
      </c>
      <c r="N22" s="31">
        <v>2129500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31942.5</v>
      </c>
      <c r="AD22" s="31">
        <v>72397.61</v>
      </c>
      <c r="AE22" s="31">
        <v>0</v>
      </c>
      <c r="AF22" s="34">
        <v>2020</v>
      </c>
      <c r="AG22" s="34">
        <v>2020</v>
      </c>
      <c r="AH22" s="35">
        <v>2020</v>
      </c>
      <c r="AT22" s="20" t="e">
        <f t="shared" ref="AT22:AT37" si="3">VLOOKUP(C22,AW:AX,2,FALSE)</f>
        <v>#N/A</v>
      </c>
      <c r="AW22" s="20" t="s">
        <v>505</v>
      </c>
      <c r="AX22" s="20">
        <v>1</v>
      </c>
      <c r="BZ22" s="71"/>
      <c r="CD22" s="20" t="e">
        <f>VLOOKUP(C22,CE:CF,2,FALSE)</f>
        <v>#N/A</v>
      </c>
      <c r="CE22" s="178" t="s">
        <v>495</v>
      </c>
      <c r="CF22" s="178">
        <v>644</v>
      </c>
    </row>
    <row r="23" spans="1:84" ht="61.5" x14ac:dyDescent="0.85">
      <c r="A23" s="20">
        <v>1</v>
      </c>
      <c r="B23" s="66">
        <f>SUBTOTAL(103,$A$22:A23)</f>
        <v>2</v>
      </c>
      <c r="C23" s="24" t="s">
        <v>1094</v>
      </c>
      <c r="D23" s="31">
        <f t="shared" ref="D23:D86" si="4">E23+F23+G23+H23+I23+J23+L23+N23+P23+R23+T23+U23+V23+W23+X23+Y23+Z23+AA23+AB23+AC23+AD23+AE23</f>
        <v>2182367.5499999998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3">
        <v>0</v>
      </c>
      <c r="L23" s="31">
        <v>0</v>
      </c>
      <c r="M23" s="31">
        <v>500</v>
      </c>
      <c r="N23" s="31">
        <v>2081368.47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31220.53</v>
      </c>
      <c r="AD23" s="31">
        <v>69778.55</v>
      </c>
      <c r="AE23" s="31">
        <v>0</v>
      </c>
      <c r="AF23" s="34">
        <v>2020</v>
      </c>
      <c r="AG23" s="34">
        <v>2020</v>
      </c>
      <c r="AH23" s="35">
        <v>2020</v>
      </c>
      <c r="AT23" s="20" t="e">
        <f t="shared" si="3"/>
        <v>#N/A</v>
      </c>
      <c r="AW23" s="20" t="s">
        <v>401</v>
      </c>
      <c r="AX23" s="20">
        <v>1</v>
      </c>
      <c r="BZ23" s="71"/>
      <c r="CD23" s="20" t="e">
        <f t="shared" ref="CD23:CD86" si="5">VLOOKUP(C23,CE:CF,2,FALSE)</f>
        <v>#N/A</v>
      </c>
      <c r="CE23" s="178" t="s">
        <v>503</v>
      </c>
      <c r="CF23" s="178">
        <v>761.5</v>
      </c>
    </row>
    <row r="24" spans="1:84" ht="61.5" x14ac:dyDescent="0.85">
      <c r="A24" s="20">
        <v>1</v>
      </c>
      <c r="B24" s="66">
        <f>SUBTOTAL(103,$A$22:A24)</f>
        <v>3</v>
      </c>
      <c r="C24" s="24" t="s">
        <v>491</v>
      </c>
      <c r="D24" s="31">
        <f t="shared" si="4"/>
        <v>2146111.33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3">
        <v>1</v>
      </c>
      <c r="L24" s="31">
        <v>2146111.33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4" t="s">
        <v>274</v>
      </c>
      <c r="AG24" s="34">
        <v>2020</v>
      </c>
      <c r="AH24" s="35" t="s">
        <v>274</v>
      </c>
      <c r="AT24" s="20" t="e">
        <f t="shared" si="3"/>
        <v>#N/A</v>
      </c>
      <c r="AW24" s="20" t="s">
        <v>643</v>
      </c>
      <c r="AX24" s="20">
        <v>1</v>
      </c>
      <c r="BZ24" s="71"/>
      <c r="CD24" s="20" t="e">
        <f t="shared" si="5"/>
        <v>#N/A</v>
      </c>
      <c r="CE24" s="178" t="s">
        <v>521</v>
      </c>
      <c r="CF24" s="178">
        <v>342</v>
      </c>
    </row>
    <row r="25" spans="1:84" ht="61.5" x14ac:dyDescent="0.85">
      <c r="A25" s="20">
        <v>1</v>
      </c>
      <c r="B25" s="66">
        <f>SUBTOTAL(103,$A$22:A25)</f>
        <v>4</v>
      </c>
      <c r="C25" s="24" t="s">
        <v>492</v>
      </c>
      <c r="D25" s="31">
        <f t="shared" si="4"/>
        <v>2530096.7899999996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3">
        <v>0</v>
      </c>
      <c r="L25" s="31">
        <v>0</v>
      </c>
      <c r="M25" s="31">
        <v>600</v>
      </c>
      <c r="N25" s="31">
        <v>2392486.84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35887.300000000003</v>
      </c>
      <c r="AD25" s="31">
        <v>101722.65</v>
      </c>
      <c r="AE25" s="31">
        <v>0</v>
      </c>
      <c r="AF25" s="34">
        <v>2020</v>
      </c>
      <c r="AG25" s="34">
        <v>2020</v>
      </c>
      <c r="AH25" s="35">
        <v>2020</v>
      </c>
      <c r="AT25" s="20" t="e">
        <f t="shared" si="3"/>
        <v>#N/A</v>
      </c>
      <c r="AW25" s="20" t="s">
        <v>49</v>
      </c>
      <c r="AX25" s="20">
        <v>1</v>
      </c>
      <c r="BZ25" s="71"/>
      <c r="CD25" s="20" t="e">
        <f t="shared" si="5"/>
        <v>#N/A</v>
      </c>
      <c r="CE25" s="178" t="s">
        <v>528</v>
      </c>
      <c r="CF25" s="178">
        <v>1603.24</v>
      </c>
    </row>
    <row r="26" spans="1:84" ht="61.5" x14ac:dyDescent="0.85">
      <c r="A26" s="20">
        <v>1</v>
      </c>
      <c r="B26" s="66">
        <f>SUBTOTAL(103,$A$22:A26)</f>
        <v>5</v>
      </c>
      <c r="C26" s="24" t="s">
        <v>493</v>
      </c>
      <c r="D26" s="31">
        <f t="shared" si="4"/>
        <v>3268057.98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3">
        <v>0</v>
      </c>
      <c r="L26" s="31">
        <v>0</v>
      </c>
      <c r="M26" s="31">
        <v>790</v>
      </c>
      <c r="N26" s="31">
        <v>3219761.56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48296.42</v>
      </c>
      <c r="AD26" s="31">
        <v>0</v>
      </c>
      <c r="AE26" s="31">
        <v>0</v>
      </c>
      <c r="AF26" s="34" t="s">
        <v>274</v>
      </c>
      <c r="AG26" s="34">
        <v>2020</v>
      </c>
      <c r="AH26" s="35">
        <v>2020</v>
      </c>
      <c r="AT26" s="20" t="e">
        <f t="shared" si="3"/>
        <v>#N/A</v>
      </c>
      <c r="AW26" s="20" t="s">
        <v>412</v>
      </c>
      <c r="AX26" s="20">
        <v>1</v>
      </c>
      <c r="BZ26" s="71"/>
      <c r="CD26" s="20" t="e">
        <f t="shared" si="5"/>
        <v>#N/A</v>
      </c>
      <c r="CE26" s="178" t="s">
        <v>529</v>
      </c>
      <c r="CF26" s="178">
        <v>2070.63</v>
      </c>
    </row>
    <row r="27" spans="1:84" ht="61.5" x14ac:dyDescent="0.85">
      <c r="A27" s="20">
        <v>1</v>
      </c>
      <c r="B27" s="66">
        <f>SUBTOTAL(103,$A$22:A27)</f>
        <v>6</v>
      </c>
      <c r="C27" s="24" t="s">
        <v>494</v>
      </c>
      <c r="D27" s="31">
        <f t="shared" si="4"/>
        <v>1642072.83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3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412.3</v>
      </c>
      <c r="R27" s="31">
        <v>1617805.74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24267.09</v>
      </c>
      <c r="AD27" s="31">
        <v>0</v>
      </c>
      <c r="AE27" s="31">
        <v>0</v>
      </c>
      <c r="AF27" s="34" t="s">
        <v>274</v>
      </c>
      <c r="AG27" s="34">
        <v>2020</v>
      </c>
      <c r="AH27" s="35">
        <v>2020</v>
      </c>
      <c r="AT27" s="20" t="e">
        <f t="shared" si="3"/>
        <v>#N/A</v>
      </c>
      <c r="AW27" s="20" t="s">
        <v>637</v>
      </c>
      <c r="AX27" s="20">
        <v>1</v>
      </c>
      <c r="BZ27" s="71"/>
      <c r="CD27" s="20" t="e">
        <f t="shared" si="5"/>
        <v>#N/A</v>
      </c>
      <c r="CE27" s="178" t="s">
        <v>532</v>
      </c>
      <c r="CF27" s="178">
        <v>600</v>
      </c>
    </row>
    <row r="28" spans="1:84" ht="61.5" x14ac:dyDescent="0.85">
      <c r="A28" s="20">
        <v>1</v>
      </c>
      <c r="B28" s="66">
        <f>SUBTOTAL(103,$A$22:A28)</f>
        <v>7</v>
      </c>
      <c r="C28" s="24" t="s">
        <v>495</v>
      </c>
      <c r="D28" s="31">
        <f t="shared" si="4"/>
        <v>2362920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3">
        <v>0</v>
      </c>
      <c r="L28" s="31">
        <v>0</v>
      </c>
      <c r="M28" s="31">
        <v>557</v>
      </c>
      <c r="N28" s="31">
        <v>2328000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34920</v>
      </c>
      <c r="AD28" s="31">
        <v>0</v>
      </c>
      <c r="AE28" s="31">
        <v>0</v>
      </c>
      <c r="AF28" s="34" t="s">
        <v>274</v>
      </c>
      <c r="AG28" s="34">
        <v>2020</v>
      </c>
      <c r="AH28" s="35">
        <v>2020</v>
      </c>
      <c r="AT28" s="20" t="e">
        <f t="shared" si="3"/>
        <v>#N/A</v>
      </c>
      <c r="AW28" s="20" t="s">
        <v>636</v>
      </c>
      <c r="AX28" s="20">
        <v>1</v>
      </c>
      <c r="BZ28" s="71"/>
      <c r="CD28" s="20">
        <f t="shared" si="5"/>
        <v>644</v>
      </c>
      <c r="CE28" s="178" t="s">
        <v>1402</v>
      </c>
      <c r="CF28" s="178">
        <v>334.02</v>
      </c>
    </row>
    <row r="29" spans="1:84" ht="61.5" x14ac:dyDescent="0.85">
      <c r="A29" s="20">
        <v>1</v>
      </c>
      <c r="B29" s="66">
        <f>SUBTOTAL(103,$A$22:A29)</f>
        <v>8</v>
      </c>
      <c r="C29" s="24" t="s">
        <v>497</v>
      </c>
      <c r="D29" s="31">
        <f t="shared" si="4"/>
        <v>2869408.97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3">
        <v>0</v>
      </c>
      <c r="L29" s="31">
        <v>0</v>
      </c>
      <c r="M29" s="31">
        <v>604</v>
      </c>
      <c r="N29" s="31">
        <v>2758281.62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41374.22</v>
      </c>
      <c r="AD29" s="31">
        <v>69753.13</v>
      </c>
      <c r="AE29" s="31">
        <v>0</v>
      </c>
      <c r="AF29" s="34">
        <v>2020</v>
      </c>
      <c r="AG29" s="34">
        <v>2020</v>
      </c>
      <c r="AH29" s="35">
        <v>2020</v>
      </c>
      <c r="AT29" s="20" t="e">
        <f t="shared" si="3"/>
        <v>#N/A</v>
      </c>
      <c r="AW29" s="20" t="s">
        <v>240</v>
      </c>
      <c r="AX29" s="20">
        <v>1</v>
      </c>
      <c r="BZ29" s="71"/>
      <c r="CD29" s="20" t="e">
        <f t="shared" si="5"/>
        <v>#N/A</v>
      </c>
      <c r="CE29" s="178" t="s">
        <v>1152</v>
      </c>
      <c r="CF29" s="178">
        <v>1124.75</v>
      </c>
    </row>
    <row r="30" spans="1:84" ht="61.5" x14ac:dyDescent="0.85">
      <c r="A30" s="20">
        <v>1</v>
      </c>
      <c r="B30" s="66">
        <f>SUBTOTAL(103,$A$22:A30)</f>
        <v>9</v>
      </c>
      <c r="C30" s="24" t="s">
        <v>498</v>
      </c>
      <c r="D30" s="31">
        <f t="shared" si="4"/>
        <v>2054325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3">
        <v>0</v>
      </c>
      <c r="L30" s="31">
        <v>0</v>
      </c>
      <c r="M30" s="31">
        <v>591</v>
      </c>
      <c r="N30" s="31">
        <v>1955000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29325</v>
      </c>
      <c r="AD30" s="31">
        <v>70000</v>
      </c>
      <c r="AE30" s="31">
        <v>0</v>
      </c>
      <c r="AF30" s="34">
        <v>2020</v>
      </c>
      <c r="AG30" s="34">
        <v>2020</v>
      </c>
      <c r="AH30" s="35">
        <v>2020</v>
      </c>
      <c r="AT30" s="20" t="e">
        <f t="shared" si="3"/>
        <v>#N/A</v>
      </c>
      <c r="AW30" s="20" t="s">
        <v>130</v>
      </c>
      <c r="AX30" s="20">
        <v>1</v>
      </c>
      <c r="BZ30" s="71"/>
      <c r="CD30" s="20" t="e">
        <f t="shared" si="5"/>
        <v>#N/A</v>
      </c>
      <c r="CE30" s="178" t="s">
        <v>459</v>
      </c>
      <c r="CF30" s="178">
        <v>555.39</v>
      </c>
    </row>
    <row r="31" spans="1:84" ht="61.5" x14ac:dyDescent="0.85">
      <c r="A31" s="20">
        <v>1</v>
      </c>
      <c r="B31" s="66">
        <f>SUBTOTAL(103,$A$22:A31)</f>
        <v>10</v>
      </c>
      <c r="C31" s="24" t="s">
        <v>499</v>
      </c>
      <c r="D31" s="31">
        <f t="shared" si="4"/>
        <v>2575132.3800000004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3">
        <v>0</v>
      </c>
      <c r="L31" s="31">
        <v>0</v>
      </c>
      <c r="M31" s="31">
        <v>612</v>
      </c>
      <c r="N31" s="31">
        <v>2439751.14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36596.269999999997</v>
      </c>
      <c r="AD31" s="31">
        <v>98784.97</v>
      </c>
      <c r="AE31" s="31">
        <v>0</v>
      </c>
      <c r="AF31" s="34">
        <v>2020</v>
      </c>
      <c r="AG31" s="34">
        <v>2020</v>
      </c>
      <c r="AH31" s="35">
        <v>2020</v>
      </c>
      <c r="AT31" s="20" t="e">
        <f t="shared" si="3"/>
        <v>#N/A</v>
      </c>
      <c r="AW31" s="20" t="s">
        <v>442</v>
      </c>
      <c r="AX31" s="20">
        <v>1</v>
      </c>
      <c r="BZ31" s="71"/>
      <c r="CD31" s="20" t="e">
        <f t="shared" si="5"/>
        <v>#N/A</v>
      </c>
      <c r="CE31" s="178" t="s">
        <v>462</v>
      </c>
      <c r="CF31" s="178">
        <v>865.12</v>
      </c>
    </row>
    <row r="32" spans="1:84" ht="61.5" x14ac:dyDescent="0.85">
      <c r="A32" s="20">
        <v>1</v>
      </c>
      <c r="B32" s="66">
        <f>SUBTOTAL(103,$A$22:A32)</f>
        <v>11</v>
      </c>
      <c r="C32" s="24" t="s">
        <v>500</v>
      </c>
      <c r="D32" s="31">
        <f t="shared" si="4"/>
        <v>3274095.59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3">
        <v>0</v>
      </c>
      <c r="L32" s="31">
        <v>0</v>
      </c>
      <c r="M32" s="31">
        <v>1248.2</v>
      </c>
      <c r="N32" s="31">
        <v>3225709.94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48385.65</v>
      </c>
      <c r="AD32" s="31">
        <v>0</v>
      </c>
      <c r="AE32" s="31">
        <v>0</v>
      </c>
      <c r="AF32" s="34" t="s">
        <v>274</v>
      </c>
      <c r="AG32" s="34">
        <v>2020</v>
      </c>
      <c r="AH32" s="35">
        <v>2020</v>
      </c>
      <c r="AT32" s="20" t="e">
        <f t="shared" si="3"/>
        <v>#N/A</v>
      </c>
      <c r="AW32" s="20" t="s">
        <v>812</v>
      </c>
      <c r="AX32" s="20">
        <v>1</v>
      </c>
      <c r="BZ32" s="71"/>
      <c r="CD32" s="20">
        <f t="shared" si="5"/>
        <v>1089.8</v>
      </c>
      <c r="CE32" s="178" t="s">
        <v>464</v>
      </c>
      <c r="CF32" s="178">
        <v>860.91</v>
      </c>
    </row>
    <row r="33" spans="1:84" ht="61.5" x14ac:dyDescent="0.85">
      <c r="A33" s="20">
        <v>1</v>
      </c>
      <c r="B33" s="66">
        <f>SUBTOTAL(103,$A$22:A33)</f>
        <v>12</v>
      </c>
      <c r="C33" s="24" t="s">
        <v>501</v>
      </c>
      <c r="D33" s="31">
        <f t="shared" si="4"/>
        <v>3988187.17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3">
        <v>0</v>
      </c>
      <c r="L33" s="31">
        <v>0</v>
      </c>
      <c r="M33" s="31">
        <v>947.4</v>
      </c>
      <c r="N33" s="31">
        <v>3830803.35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57462.05</v>
      </c>
      <c r="AD33" s="31">
        <v>99921.77</v>
      </c>
      <c r="AE33" s="31">
        <v>0</v>
      </c>
      <c r="AF33" s="34">
        <v>2020</v>
      </c>
      <c r="AG33" s="34">
        <v>2020</v>
      </c>
      <c r="AH33" s="35">
        <v>2020</v>
      </c>
      <c r="AT33" s="20" t="e">
        <f t="shared" si="3"/>
        <v>#N/A</v>
      </c>
      <c r="AW33" s="20" t="s">
        <v>811</v>
      </c>
      <c r="AX33" s="20">
        <v>1</v>
      </c>
      <c r="BZ33" s="71"/>
      <c r="CD33" s="20" t="e">
        <f t="shared" si="5"/>
        <v>#N/A</v>
      </c>
      <c r="CE33" s="178" t="s">
        <v>795</v>
      </c>
      <c r="CF33" s="178">
        <v>1319.27</v>
      </c>
    </row>
    <row r="34" spans="1:84" ht="61.5" x14ac:dyDescent="0.85">
      <c r="A34" s="20">
        <v>1</v>
      </c>
      <c r="B34" s="66">
        <f>SUBTOTAL(103,$A$22:A34)</f>
        <v>13</v>
      </c>
      <c r="C34" s="24" t="s">
        <v>502</v>
      </c>
      <c r="D34" s="31">
        <f t="shared" si="4"/>
        <v>1785060.8199999998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3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370.8</v>
      </c>
      <c r="R34" s="31">
        <v>1660158.44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24902.38</v>
      </c>
      <c r="AD34" s="31">
        <v>100000</v>
      </c>
      <c r="AE34" s="31">
        <v>0</v>
      </c>
      <c r="AF34" s="34">
        <v>2020</v>
      </c>
      <c r="AG34" s="34">
        <v>2020</v>
      </c>
      <c r="AH34" s="35">
        <v>2020</v>
      </c>
      <c r="AT34" s="20" t="e">
        <f t="shared" si="3"/>
        <v>#N/A</v>
      </c>
      <c r="AW34" s="20" t="s">
        <v>838</v>
      </c>
      <c r="AX34" s="20">
        <v>1</v>
      </c>
      <c r="BZ34" s="71"/>
      <c r="CD34" s="20" t="e">
        <f t="shared" si="5"/>
        <v>#N/A</v>
      </c>
      <c r="CE34" s="178" t="s">
        <v>686</v>
      </c>
      <c r="CF34" s="178">
        <v>900</v>
      </c>
    </row>
    <row r="35" spans="1:84" ht="61.5" x14ac:dyDescent="0.85">
      <c r="A35" s="20">
        <v>1</v>
      </c>
      <c r="B35" s="66">
        <f>SUBTOTAL(103,$A$22:A35)</f>
        <v>14</v>
      </c>
      <c r="C35" s="24" t="s">
        <v>503</v>
      </c>
      <c r="D35" s="31">
        <f t="shared" si="4"/>
        <v>2689750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3">
        <v>0</v>
      </c>
      <c r="L35" s="31">
        <v>0</v>
      </c>
      <c r="M35" s="31">
        <v>630</v>
      </c>
      <c r="N35" s="31">
        <v>2650000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39750</v>
      </c>
      <c r="AD35" s="31">
        <v>0</v>
      </c>
      <c r="AE35" s="31">
        <v>0</v>
      </c>
      <c r="AF35" s="34" t="s">
        <v>274</v>
      </c>
      <c r="AG35" s="34">
        <v>2020</v>
      </c>
      <c r="AH35" s="35">
        <v>2020</v>
      </c>
      <c r="AT35" s="20" t="e">
        <f t="shared" si="3"/>
        <v>#N/A</v>
      </c>
      <c r="AW35" s="20" t="s">
        <v>692</v>
      </c>
      <c r="AX35" s="20">
        <v>1</v>
      </c>
      <c r="BZ35" s="71"/>
      <c r="CD35" s="20">
        <f t="shared" si="5"/>
        <v>761.5</v>
      </c>
      <c r="CE35" s="178" t="s">
        <v>687</v>
      </c>
      <c r="CF35" s="178">
        <v>900</v>
      </c>
    </row>
    <row r="36" spans="1:84" ht="61.5" x14ac:dyDescent="0.85">
      <c r="A36" s="20">
        <v>1</v>
      </c>
      <c r="B36" s="66">
        <f>SUBTOTAL(103,$A$22:A36)</f>
        <v>15</v>
      </c>
      <c r="C36" s="24" t="s">
        <v>504</v>
      </c>
      <c r="D36" s="31">
        <f t="shared" si="4"/>
        <v>3621937.8699999996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3">
        <v>0</v>
      </c>
      <c r="L36" s="31">
        <v>0</v>
      </c>
      <c r="M36" s="31">
        <v>1199</v>
      </c>
      <c r="N36" s="31">
        <v>3568500.36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53437.51</v>
      </c>
      <c r="AD36" s="31">
        <v>0</v>
      </c>
      <c r="AE36" s="31">
        <v>0</v>
      </c>
      <c r="AF36" s="34" t="s">
        <v>274</v>
      </c>
      <c r="AG36" s="34">
        <v>2020</v>
      </c>
      <c r="AH36" s="35">
        <v>2020</v>
      </c>
      <c r="AT36" s="20" t="e">
        <f t="shared" si="3"/>
        <v>#N/A</v>
      </c>
      <c r="AW36" s="20" t="s">
        <v>226</v>
      </c>
      <c r="AX36" s="20">
        <v>1</v>
      </c>
      <c r="BZ36" s="71"/>
      <c r="CD36" s="20">
        <f t="shared" si="5"/>
        <v>1041.5</v>
      </c>
      <c r="CE36" s="178" t="s">
        <v>688</v>
      </c>
      <c r="CF36" s="178">
        <v>900</v>
      </c>
    </row>
    <row r="37" spans="1:84" ht="61.5" x14ac:dyDescent="0.85">
      <c r="A37" s="20">
        <v>1</v>
      </c>
      <c r="B37" s="66">
        <f>SUBTOTAL(103,$A$22:A37)</f>
        <v>16</v>
      </c>
      <c r="C37" s="24" t="s">
        <v>505</v>
      </c>
      <c r="D37" s="31">
        <f t="shared" si="4"/>
        <v>17545640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3">
        <v>8</v>
      </c>
      <c r="L37" s="31">
        <v>17545640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4" t="s">
        <v>274</v>
      </c>
      <c r="AG37" s="34">
        <v>2020</v>
      </c>
      <c r="AH37" s="35" t="s">
        <v>274</v>
      </c>
      <c r="AT37" s="20">
        <f t="shared" si="3"/>
        <v>1</v>
      </c>
      <c r="BZ37" s="71"/>
      <c r="CD37" s="20" t="e">
        <f t="shared" si="5"/>
        <v>#N/A</v>
      </c>
      <c r="CE37" s="178" t="s">
        <v>1609</v>
      </c>
      <c r="CF37" s="178">
        <v>870</v>
      </c>
    </row>
    <row r="38" spans="1:84" ht="61.5" x14ac:dyDescent="0.85">
      <c r="A38" s="20">
        <v>1</v>
      </c>
      <c r="B38" s="66">
        <f>SUBTOTAL(103,$A$22:A38)</f>
        <v>17</v>
      </c>
      <c r="C38" s="24" t="s">
        <v>506</v>
      </c>
      <c r="D38" s="31">
        <f t="shared" si="4"/>
        <v>862750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3">
        <v>0</v>
      </c>
      <c r="L38" s="31">
        <v>0</v>
      </c>
      <c r="M38" s="31">
        <v>237</v>
      </c>
      <c r="N38" s="31">
        <v>850000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12750</v>
      </c>
      <c r="AD38" s="31">
        <v>0</v>
      </c>
      <c r="AE38" s="31">
        <v>0</v>
      </c>
      <c r="AF38" s="34" t="s">
        <v>274</v>
      </c>
      <c r="AG38" s="34">
        <v>2020</v>
      </c>
      <c r="AH38" s="35">
        <v>2020</v>
      </c>
      <c r="BZ38" s="71"/>
      <c r="CD38" s="20" t="e">
        <f t="shared" si="5"/>
        <v>#N/A</v>
      </c>
      <c r="CE38" s="178" t="s">
        <v>122</v>
      </c>
      <c r="CF38" s="178">
        <v>313.10000000000002</v>
      </c>
    </row>
    <row r="39" spans="1:84" ht="61.5" x14ac:dyDescent="0.85">
      <c r="A39" s="20">
        <v>1</v>
      </c>
      <c r="B39" s="66">
        <f>SUBTOTAL(103,$A$22:A39)</f>
        <v>18</v>
      </c>
      <c r="C39" s="24" t="s">
        <v>507</v>
      </c>
      <c r="D39" s="31">
        <f t="shared" si="4"/>
        <v>4696932.55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3">
        <v>0</v>
      </c>
      <c r="L39" s="31">
        <v>0</v>
      </c>
      <c r="M39" s="31">
        <v>1020</v>
      </c>
      <c r="N39" s="31">
        <v>4627519.75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69412.800000000003</v>
      </c>
      <c r="AD39" s="31">
        <v>0</v>
      </c>
      <c r="AE39" s="31">
        <v>0</v>
      </c>
      <c r="AF39" s="34" t="s">
        <v>274</v>
      </c>
      <c r="AG39" s="34">
        <v>2020</v>
      </c>
      <c r="AH39" s="35">
        <v>2020</v>
      </c>
      <c r="AT39" s="20" t="e">
        <f>VLOOKUP(C39,AW:AX,2,FALSE)</f>
        <v>#N/A</v>
      </c>
      <c r="BZ39" s="71"/>
      <c r="CD39" s="20" t="e">
        <f t="shared" si="5"/>
        <v>#N/A</v>
      </c>
      <c r="CE39" s="178" t="s">
        <v>172</v>
      </c>
      <c r="CF39" s="178">
        <v>412.82</v>
      </c>
    </row>
    <row r="40" spans="1:84" ht="61.5" x14ac:dyDescent="0.85">
      <c r="A40" s="20">
        <v>1</v>
      </c>
      <c r="B40" s="66">
        <f>SUBTOTAL(103,$A$22:A40)</f>
        <v>19</v>
      </c>
      <c r="C40" s="24" t="s">
        <v>508</v>
      </c>
      <c r="D40" s="31">
        <f t="shared" si="4"/>
        <v>1982389.7899999998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3">
        <v>0</v>
      </c>
      <c r="L40" s="31">
        <v>0</v>
      </c>
      <c r="M40" s="31">
        <v>350</v>
      </c>
      <c r="N40" s="31">
        <v>1953093.39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29296.400000000001</v>
      </c>
      <c r="AD40" s="31">
        <v>0</v>
      </c>
      <c r="AE40" s="31">
        <v>0</v>
      </c>
      <c r="AF40" s="34" t="s">
        <v>274</v>
      </c>
      <c r="AG40" s="34">
        <v>2020</v>
      </c>
      <c r="AH40" s="35">
        <v>2020</v>
      </c>
      <c r="AT40" s="20" t="e">
        <f>VLOOKUP(C40,AW:AX,2,FALSE)</f>
        <v>#N/A</v>
      </c>
      <c r="BZ40" s="71"/>
      <c r="CD40" s="20" t="e">
        <f t="shared" si="5"/>
        <v>#N/A</v>
      </c>
      <c r="CE40" s="178" t="s">
        <v>1322</v>
      </c>
      <c r="CF40" s="178">
        <v>735</v>
      </c>
    </row>
    <row r="41" spans="1:84" ht="61.5" x14ac:dyDescent="0.85">
      <c r="A41" s="20">
        <v>1</v>
      </c>
      <c r="B41" s="66">
        <f>SUBTOTAL(103,$A$22:A41)</f>
        <v>20</v>
      </c>
      <c r="C41" s="24" t="s">
        <v>509</v>
      </c>
      <c r="D41" s="31">
        <f t="shared" si="4"/>
        <v>3857000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3">
        <v>0</v>
      </c>
      <c r="L41" s="31">
        <v>0</v>
      </c>
      <c r="M41" s="31">
        <v>900</v>
      </c>
      <c r="N41" s="31">
        <v>3800000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57000</v>
      </c>
      <c r="AD41" s="31">
        <v>0</v>
      </c>
      <c r="AE41" s="31">
        <v>0</v>
      </c>
      <c r="AF41" s="34" t="s">
        <v>274</v>
      </c>
      <c r="AG41" s="34">
        <v>2020</v>
      </c>
      <c r="AH41" s="35">
        <v>2020</v>
      </c>
      <c r="AT41" s="20" t="e">
        <f>VLOOKUP(C41,AW:AX,2,FALSE)</f>
        <v>#N/A</v>
      </c>
      <c r="BZ41" s="71"/>
      <c r="CD41" s="20" t="e">
        <f t="shared" si="5"/>
        <v>#N/A</v>
      </c>
      <c r="CE41" s="178" t="s">
        <v>153</v>
      </c>
      <c r="CF41" s="178">
        <v>833.9</v>
      </c>
    </row>
    <row r="42" spans="1:84" ht="61.5" x14ac:dyDescent="0.85">
      <c r="A42" s="20">
        <v>1</v>
      </c>
      <c r="B42" s="66">
        <f>SUBTOTAL(103,$A$22:A42)</f>
        <v>21</v>
      </c>
      <c r="C42" s="24" t="s">
        <v>511</v>
      </c>
      <c r="D42" s="31">
        <f t="shared" si="4"/>
        <v>4366002.71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3">
        <v>0</v>
      </c>
      <c r="L42" s="31">
        <v>0</v>
      </c>
      <c r="M42" s="31">
        <v>1058.4000000000001</v>
      </c>
      <c r="N42" s="31">
        <v>4301480.5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64522.21</v>
      </c>
      <c r="AD42" s="31">
        <v>0</v>
      </c>
      <c r="AE42" s="31">
        <v>0</v>
      </c>
      <c r="AF42" s="34" t="s">
        <v>274</v>
      </c>
      <c r="AG42" s="34">
        <v>2020</v>
      </c>
      <c r="AH42" s="35">
        <v>2020</v>
      </c>
      <c r="AT42" s="20" t="e">
        <f>VLOOKUP(C42,AW:AX,2,FALSE)</f>
        <v>#N/A</v>
      </c>
      <c r="BZ42" s="71"/>
      <c r="CD42" s="20" t="e">
        <f t="shared" si="5"/>
        <v>#N/A</v>
      </c>
      <c r="CE42" s="178" t="s">
        <v>154</v>
      </c>
      <c r="CF42" s="178">
        <v>1035.9000000000001</v>
      </c>
    </row>
    <row r="43" spans="1:84" ht="61.5" x14ac:dyDescent="0.85">
      <c r="A43" s="20">
        <v>1</v>
      </c>
      <c r="B43" s="66">
        <f>SUBTOTAL(103,$A$22:A43)</f>
        <v>22</v>
      </c>
      <c r="C43" s="24" t="s">
        <v>1680</v>
      </c>
      <c r="D43" s="31">
        <f t="shared" si="4"/>
        <v>2349201.9300000002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3">
        <v>0</v>
      </c>
      <c r="L43" s="31">
        <v>0</v>
      </c>
      <c r="M43" s="31">
        <v>574.01</v>
      </c>
      <c r="N43" s="31">
        <v>2314484.66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34717.269999999997</v>
      </c>
      <c r="AD43" s="31">
        <v>0</v>
      </c>
      <c r="AE43" s="31">
        <v>0</v>
      </c>
      <c r="AF43" s="34" t="s">
        <v>274</v>
      </c>
      <c r="AG43" s="34">
        <v>2020</v>
      </c>
      <c r="AH43" s="35">
        <v>2020</v>
      </c>
      <c r="BZ43" s="71"/>
      <c r="CD43" s="20" t="e">
        <f t="shared" si="5"/>
        <v>#N/A</v>
      </c>
      <c r="CE43" s="178" t="s">
        <v>500</v>
      </c>
      <c r="CF43" s="178">
        <v>1089.8</v>
      </c>
    </row>
    <row r="44" spans="1:84" ht="61.5" x14ac:dyDescent="0.85">
      <c r="A44" s="20">
        <v>1</v>
      </c>
      <c r="B44" s="66">
        <f>SUBTOTAL(103,$A$22:A44)</f>
        <v>23</v>
      </c>
      <c r="C44" s="24" t="s">
        <v>512</v>
      </c>
      <c r="D44" s="31">
        <f t="shared" si="4"/>
        <v>4647116.5999999996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3">
        <v>0</v>
      </c>
      <c r="L44" s="31">
        <v>0</v>
      </c>
      <c r="M44" s="31">
        <v>1136</v>
      </c>
      <c r="N44" s="31">
        <v>4578440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68676.600000000006</v>
      </c>
      <c r="AD44" s="31">
        <v>0</v>
      </c>
      <c r="AE44" s="31">
        <v>0</v>
      </c>
      <c r="AF44" s="34" t="s">
        <v>274</v>
      </c>
      <c r="AG44" s="34">
        <v>2020</v>
      </c>
      <c r="AH44" s="35">
        <v>2020</v>
      </c>
      <c r="AT44" s="20" t="e">
        <f t="shared" ref="AT44:AT53" si="6">VLOOKUP(C44,AW:AX,2,FALSE)</f>
        <v>#N/A</v>
      </c>
      <c r="BZ44" s="71"/>
      <c r="CD44" s="20" t="e">
        <f t="shared" si="5"/>
        <v>#N/A</v>
      </c>
      <c r="CE44" s="178" t="s">
        <v>504</v>
      </c>
      <c r="CF44" s="178">
        <v>1041.5</v>
      </c>
    </row>
    <row r="45" spans="1:84" ht="61.5" x14ac:dyDescent="0.85">
      <c r="A45" s="20">
        <v>1</v>
      </c>
      <c r="B45" s="66">
        <f>SUBTOTAL(103,$A$22:A45)</f>
        <v>24</v>
      </c>
      <c r="C45" s="24" t="s">
        <v>513</v>
      </c>
      <c r="D45" s="31">
        <f t="shared" si="4"/>
        <v>679000</v>
      </c>
      <c r="E45" s="31">
        <v>0</v>
      </c>
      <c r="F45" s="31">
        <v>0</v>
      </c>
      <c r="G45" s="31">
        <v>600000</v>
      </c>
      <c r="H45" s="31">
        <v>0</v>
      </c>
      <c r="I45" s="31">
        <v>0</v>
      </c>
      <c r="J45" s="31">
        <v>0</v>
      </c>
      <c r="K45" s="33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9000</v>
      </c>
      <c r="AD45" s="31">
        <v>70000</v>
      </c>
      <c r="AE45" s="31">
        <v>0</v>
      </c>
      <c r="AF45" s="34">
        <v>2020</v>
      </c>
      <c r="AG45" s="34">
        <v>2020</v>
      </c>
      <c r="AH45" s="35">
        <v>2020</v>
      </c>
      <c r="AT45" s="20" t="e">
        <f t="shared" si="6"/>
        <v>#N/A</v>
      </c>
      <c r="BZ45" s="71"/>
      <c r="CD45" s="20" t="e">
        <f t="shared" si="5"/>
        <v>#N/A</v>
      </c>
      <c r="CE45" s="178" t="s">
        <v>526</v>
      </c>
      <c r="CF45" s="178">
        <v>702.2</v>
      </c>
    </row>
    <row r="46" spans="1:84" ht="61.5" x14ac:dyDescent="0.85">
      <c r="A46" s="20">
        <v>1</v>
      </c>
      <c r="B46" s="66">
        <f>SUBTOTAL(103,$A$22:A46)</f>
        <v>25</v>
      </c>
      <c r="C46" s="24" t="s">
        <v>514</v>
      </c>
      <c r="D46" s="31">
        <f t="shared" si="4"/>
        <v>2282700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>
        <v>0</v>
      </c>
      <c r="L46" s="31">
        <v>0</v>
      </c>
      <c r="M46" s="31">
        <v>481</v>
      </c>
      <c r="N46" s="31">
        <v>2180000</v>
      </c>
      <c r="O46" s="31">
        <v>0</v>
      </c>
      <c r="P46" s="31">
        <v>0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32700</v>
      </c>
      <c r="AD46" s="31">
        <v>70000</v>
      </c>
      <c r="AE46" s="31">
        <v>0</v>
      </c>
      <c r="AF46" s="34">
        <v>2020</v>
      </c>
      <c r="AG46" s="34">
        <v>2020</v>
      </c>
      <c r="AH46" s="35">
        <v>2020</v>
      </c>
      <c r="AT46" s="20" t="e">
        <f t="shared" si="6"/>
        <v>#N/A</v>
      </c>
      <c r="BZ46" s="71"/>
      <c r="CD46" s="20" t="e">
        <f t="shared" si="5"/>
        <v>#N/A</v>
      </c>
      <c r="CE46" s="178" t="s">
        <v>530</v>
      </c>
      <c r="CF46" s="178">
        <v>777.1</v>
      </c>
    </row>
    <row r="47" spans="1:84" ht="61.5" x14ac:dyDescent="0.85">
      <c r="A47" s="20">
        <v>1</v>
      </c>
      <c r="B47" s="66">
        <f>SUBTOTAL(103,$A$22:A47)</f>
        <v>26</v>
      </c>
      <c r="C47" s="24" t="s">
        <v>515</v>
      </c>
      <c r="D47" s="31">
        <f t="shared" si="4"/>
        <v>2400313.5499999998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3">
        <v>0</v>
      </c>
      <c r="L47" s="31">
        <v>0</v>
      </c>
      <c r="M47" s="31">
        <v>605</v>
      </c>
      <c r="N47" s="31">
        <v>2277092.88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34156.39</v>
      </c>
      <c r="AD47" s="31">
        <v>89064.28</v>
      </c>
      <c r="AE47" s="31">
        <v>0</v>
      </c>
      <c r="AF47" s="34">
        <v>2020</v>
      </c>
      <c r="AG47" s="34">
        <v>2020</v>
      </c>
      <c r="AH47" s="35">
        <v>2020</v>
      </c>
      <c r="AT47" s="20" t="e">
        <f t="shared" si="6"/>
        <v>#N/A</v>
      </c>
      <c r="BZ47" s="71"/>
      <c r="CD47" s="20" t="e">
        <f t="shared" si="5"/>
        <v>#N/A</v>
      </c>
      <c r="CE47" s="178" t="s">
        <v>531</v>
      </c>
      <c r="CF47" s="178">
        <v>1000</v>
      </c>
    </row>
    <row r="48" spans="1:84" ht="61.5" x14ac:dyDescent="0.85">
      <c r="A48" s="20">
        <v>1</v>
      </c>
      <c r="B48" s="66">
        <f>SUBTOTAL(103,$A$22:A48)</f>
        <v>27</v>
      </c>
      <c r="C48" s="24" t="s">
        <v>516</v>
      </c>
      <c r="D48" s="31">
        <f t="shared" si="4"/>
        <v>3277310.71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3">
        <v>0</v>
      </c>
      <c r="L48" s="31">
        <v>0</v>
      </c>
      <c r="M48" s="31">
        <v>780</v>
      </c>
      <c r="N48" s="31">
        <v>3136532.06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47047.98</v>
      </c>
      <c r="AD48" s="31">
        <v>93730.67</v>
      </c>
      <c r="AE48" s="31">
        <v>0</v>
      </c>
      <c r="AF48" s="34">
        <v>2020</v>
      </c>
      <c r="AG48" s="34">
        <v>2020</v>
      </c>
      <c r="AH48" s="35">
        <v>2020</v>
      </c>
      <c r="AT48" s="20" t="e">
        <f t="shared" si="6"/>
        <v>#N/A</v>
      </c>
      <c r="BZ48" s="71"/>
      <c r="CD48" s="20" t="e">
        <f t="shared" si="5"/>
        <v>#N/A</v>
      </c>
      <c r="CE48" s="178" t="s">
        <v>534</v>
      </c>
      <c r="CF48" s="178">
        <v>800</v>
      </c>
    </row>
    <row r="49" spans="1:84" ht="61.5" x14ac:dyDescent="0.85">
      <c r="A49" s="20">
        <v>1</v>
      </c>
      <c r="B49" s="66">
        <f>SUBTOTAL(103,$A$22:A49)</f>
        <v>28</v>
      </c>
      <c r="C49" s="24" t="s">
        <v>517</v>
      </c>
      <c r="D49" s="31">
        <f t="shared" si="4"/>
        <v>13915854.74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3">
        <v>7</v>
      </c>
      <c r="L49" s="31">
        <v>13915854.74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4" t="s">
        <v>274</v>
      </c>
      <c r="AG49" s="34">
        <v>2020</v>
      </c>
      <c r="AH49" s="35" t="s">
        <v>274</v>
      </c>
      <c r="AT49" s="20" t="e">
        <f t="shared" si="6"/>
        <v>#N/A</v>
      </c>
      <c r="BZ49" s="71"/>
      <c r="CD49" s="20" t="e">
        <f t="shared" si="5"/>
        <v>#N/A</v>
      </c>
      <c r="CE49" s="178" t="s">
        <v>537</v>
      </c>
      <c r="CF49" s="178">
        <v>1180.0999999999999</v>
      </c>
    </row>
    <row r="50" spans="1:84" ht="61.5" x14ac:dyDescent="0.85">
      <c r="A50" s="20">
        <v>1</v>
      </c>
      <c r="B50" s="66">
        <f>SUBTOTAL(103,$A$22:A50)</f>
        <v>29</v>
      </c>
      <c r="C50" s="24" t="s">
        <v>518</v>
      </c>
      <c r="D50" s="31">
        <f t="shared" si="4"/>
        <v>4260892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3">
        <v>2</v>
      </c>
      <c r="L50" s="31">
        <v>4260892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4" t="s">
        <v>274</v>
      </c>
      <c r="AG50" s="34">
        <v>2020</v>
      </c>
      <c r="AH50" s="35" t="s">
        <v>274</v>
      </c>
      <c r="AT50" s="20" t="e">
        <f t="shared" si="6"/>
        <v>#N/A</v>
      </c>
      <c r="BZ50" s="71"/>
      <c r="CD50" s="20" t="e">
        <f t="shared" si="5"/>
        <v>#N/A</v>
      </c>
      <c r="CE50" s="178" t="s">
        <v>1404</v>
      </c>
      <c r="CF50" s="178">
        <v>789</v>
      </c>
    </row>
    <row r="51" spans="1:84" ht="61.5" x14ac:dyDescent="0.85">
      <c r="A51" s="20">
        <v>1</v>
      </c>
      <c r="B51" s="66">
        <f>SUBTOTAL(103,$A$22:A51)</f>
        <v>30</v>
      </c>
      <c r="C51" s="24" t="s">
        <v>519</v>
      </c>
      <c r="D51" s="31">
        <f t="shared" si="4"/>
        <v>2178303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3">
        <v>1</v>
      </c>
      <c r="L51" s="31">
        <v>2178303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4" t="s">
        <v>274</v>
      </c>
      <c r="AG51" s="34">
        <v>2020</v>
      </c>
      <c r="AH51" s="35" t="s">
        <v>274</v>
      </c>
      <c r="AT51" s="20" t="e">
        <f t="shared" si="6"/>
        <v>#N/A</v>
      </c>
      <c r="BZ51" s="71"/>
      <c r="CD51" s="20" t="e">
        <f t="shared" si="5"/>
        <v>#N/A</v>
      </c>
      <c r="CE51" s="178" t="s">
        <v>1126</v>
      </c>
      <c r="CF51" s="178">
        <v>1147.7</v>
      </c>
    </row>
    <row r="52" spans="1:84" ht="61.5" x14ac:dyDescent="0.85">
      <c r="A52" s="20">
        <v>1</v>
      </c>
      <c r="B52" s="66">
        <f>SUBTOTAL(103,$A$22:A52)</f>
        <v>31</v>
      </c>
      <c r="C52" s="24" t="s">
        <v>520</v>
      </c>
      <c r="D52" s="31">
        <f t="shared" si="4"/>
        <v>4396606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3">
        <v>2</v>
      </c>
      <c r="L52" s="31">
        <v>4396606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4" t="s">
        <v>274</v>
      </c>
      <c r="AG52" s="34">
        <v>2020</v>
      </c>
      <c r="AH52" s="35" t="s">
        <v>274</v>
      </c>
      <c r="AT52" s="20" t="e">
        <f t="shared" si="6"/>
        <v>#N/A</v>
      </c>
      <c r="BZ52" s="71"/>
      <c r="CD52" s="20" t="e">
        <f t="shared" si="5"/>
        <v>#N/A</v>
      </c>
      <c r="CE52" s="178" t="s">
        <v>1127</v>
      </c>
      <c r="CF52" s="178">
        <v>218.8</v>
      </c>
    </row>
    <row r="53" spans="1:84" ht="61.5" x14ac:dyDescent="0.85">
      <c r="A53" s="20">
        <v>1</v>
      </c>
      <c r="B53" s="66">
        <f>SUBTOTAL(103,$A$22:A53)</f>
        <v>32</v>
      </c>
      <c r="C53" s="24" t="s">
        <v>521</v>
      </c>
      <c r="D53" s="31">
        <f t="shared" si="4"/>
        <v>1260630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3">
        <v>0</v>
      </c>
      <c r="L53" s="31">
        <v>0</v>
      </c>
      <c r="M53" s="31">
        <v>332.1</v>
      </c>
      <c r="N53" s="31">
        <v>1242000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18630</v>
      </c>
      <c r="AD53" s="31">
        <v>0</v>
      </c>
      <c r="AE53" s="31">
        <v>0</v>
      </c>
      <c r="AF53" s="34" t="s">
        <v>274</v>
      </c>
      <c r="AG53" s="34">
        <v>2020</v>
      </c>
      <c r="AH53" s="35">
        <v>2020</v>
      </c>
      <c r="AT53" s="20" t="e">
        <f t="shared" si="6"/>
        <v>#N/A</v>
      </c>
      <c r="BZ53" s="71"/>
      <c r="CD53" s="20">
        <f t="shared" si="5"/>
        <v>342</v>
      </c>
      <c r="CE53" s="178" t="s">
        <v>1128</v>
      </c>
      <c r="CF53" s="178">
        <v>912.27</v>
      </c>
    </row>
    <row r="54" spans="1:84" ht="61.5" x14ac:dyDescent="0.85">
      <c r="A54" s="20">
        <v>1</v>
      </c>
      <c r="B54" s="66">
        <f>SUBTOTAL(103,$A$22:A54)</f>
        <v>33</v>
      </c>
      <c r="C54" s="24" t="s">
        <v>522</v>
      </c>
      <c r="D54" s="31">
        <f t="shared" si="4"/>
        <v>949025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3">
        <v>0</v>
      </c>
      <c r="L54" s="31">
        <v>0</v>
      </c>
      <c r="M54" s="31">
        <v>231</v>
      </c>
      <c r="N54" s="31">
        <v>935000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14025</v>
      </c>
      <c r="AD54" s="31">
        <v>0</v>
      </c>
      <c r="AE54" s="31">
        <v>0</v>
      </c>
      <c r="AF54" s="34" t="s">
        <v>274</v>
      </c>
      <c r="AG54" s="34">
        <v>2020</v>
      </c>
      <c r="AH54" s="35">
        <v>2020</v>
      </c>
      <c r="BZ54" s="71"/>
      <c r="CD54" s="20" t="e">
        <f t="shared" si="5"/>
        <v>#N/A</v>
      </c>
      <c r="CE54" s="178" t="s">
        <v>1132</v>
      </c>
      <c r="CF54" s="178">
        <v>979.44</v>
      </c>
    </row>
    <row r="55" spans="1:84" ht="61.5" x14ac:dyDescent="0.85">
      <c r="A55" s="20">
        <v>1</v>
      </c>
      <c r="B55" s="66">
        <f>SUBTOTAL(103,$A$22:A55)</f>
        <v>34</v>
      </c>
      <c r="C55" s="24" t="s">
        <v>523</v>
      </c>
      <c r="D55" s="31">
        <f t="shared" si="4"/>
        <v>1450057.71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3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353.32</v>
      </c>
      <c r="R55" s="31">
        <v>1382811.69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20742.18</v>
      </c>
      <c r="AD55" s="31">
        <v>46503.839999999997</v>
      </c>
      <c r="AE55" s="31">
        <v>0</v>
      </c>
      <c r="AF55" s="34">
        <v>2020</v>
      </c>
      <c r="AG55" s="34">
        <v>2020</v>
      </c>
      <c r="AH55" s="35">
        <v>2020</v>
      </c>
      <c r="AT55" s="20" t="e">
        <f t="shared" ref="AT55:AT70" si="7">VLOOKUP(C55,AW:AX,2,FALSE)</f>
        <v>#N/A</v>
      </c>
      <c r="BZ55" s="71"/>
      <c r="CD55" s="20" t="e">
        <f t="shared" si="5"/>
        <v>#N/A</v>
      </c>
      <c r="CE55" s="178" t="s">
        <v>1133</v>
      </c>
      <c r="CF55" s="178">
        <v>730.17</v>
      </c>
    </row>
    <row r="56" spans="1:84" ht="61.5" x14ac:dyDescent="0.85">
      <c r="A56" s="20">
        <v>1</v>
      </c>
      <c r="B56" s="66">
        <f>SUBTOTAL(103,$A$22:A56)</f>
        <v>35</v>
      </c>
      <c r="C56" s="24" t="s">
        <v>524</v>
      </c>
      <c r="D56" s="31">
        <f t="shared" si="4"/>
        <v>2178303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3">
        <v>1</v>
      </c>
      <c r="L56" s="31">
        <v>2178303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4" t="s">
        <v>274</v>
      </c>
      <c r="AG56" s="34">
        <v>2020</v>
      </c>
      <c r="AH56" s="35" t="s">
        <v>274</v>
      </c>
      <c r="AT56" s="20" t="e">
        <f t="shared" si="7"/>
        <v>#N/A</v>
      </c>
      <c r="BZ56" s="71"/>
      <c r="CD56" s="20" t="e">
        <f t="shared" si="5"/>
        <v>#N/A</v>
      </c>
      <c r="CE56" s="178" t="s">
        <v>1136</v>
      </c>
      <c r="CF56" s="178">
        <v>874.18</v>
      </c>
    </row>
    <row r="57" spans="1:84" ht="61.5" x14ac:dyDescent="0.85">
      <c r="A57" s="20">
        <v>1</v>
      </c>
      <c r="B57" s="66">
        <f>SUBTOTAL(103,$A$22:A57)</f>
        <v>36</v>
      </c>
      <c r="C57" s="24" t="s">
        <v>525</v>
      </c>
      <c r="D57" s="31">
        <f t="shared" si="4"/>
        <v>3328280.65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3">
        <v>0</v>
      </c>
      <c r="L57" s="31">
        <v>0</v>
      </c>
      <c r="M57" s="31">
        <v>794.6</v>
      </c>
      <c r="N57" s="31">
        <v>3197085.63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47956.28</v>
      </c>
      <c r="AD57" s="31">
        <v>83238.740000000005</v>
      </c>
      <c r="AE57" s="31">
        <v>0</v>
      </c>
      <c r="AF57" s="34">
        <v>2020</v>
      </c>
      <c r="AG57" s="34">
        <v>2020</v>
      </c>
      <c r="AH57" s="35">
        <v>2020</v>
      </c>
      <c r="AT57" s="20" t="e">
        <f t="shared" si="7"/>
        <v>#N/A</v>
      </c>
      <c r="BZ57" s="71"/>
      <c r="CD57" s="20">
        <f t="shared" si="5"/>
        <v>952</v>
      </c>
      <c r="CE57" s="178" t="s">
        <v>1138</v>
      </c>
      <c r="CF57" s="178">
        <v>1200</v>
      </c>
    </row>
    <row r="58" spans="1:84" ht="61.5" x14ac:dyDescent="0.85">
      <c r="A58" s="20">
        <v>1</v>
      </c>
      <c r="B58" s="66">
        <f>SUBTOTAL(103,$A$22:A58)</f>
        <v>37</v>
      </c>
      <c r="C58" s="24" t="s">
        <v>526</v>
      </c>
      <c r="D58" s="31">
        <f t="shared" si="4"/>
        <v>2691620.69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3">
        <v>0</v>
      </c>
      <c r="L58" s="31">
        <v>0</v>
      </c>
      <c r="M58" s="31">
        <v>861</v>
      </c>
      <c r="N58" s="31">
        <v>2651843.04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39777.65</v>
      </c>
      <c r="AD58" s="31">
        <v>0</v>
      </c>
      <c r="AE58" s="31">
        <v>0</v>
      </c>
      <c r="AF58" s="34" t="s">
        <v>274</v>
      </c>
      <c r="AG58" s="34">
        <v>2020</v>
      </c>
      <c r="AH58" s="35">
        <v>2020</v>
      </c>
      <c r="AT58" s="20" t="e">
        <f t="shared" si="7"/>
        <v>#N/A</v>
      </c>
      <c r="BZ58" s="71"/>
      <c r="CD58" s="20">
        <f t="shared" si="5"/>
        <v>702.2</v>
      </c>
      <c r="CE58" s="178" t="s">
        <v>1148</v>
      </c>
      <c r="CF58" s="178">
        <v>523.98</v>
      </c>
    </row>
    <row r="59" spans="1:84" ht="61.5" x14ac:dyDescent="0.85">
      <c r="A59" s="20">
        <v>1</v>
      </c>
      <c r="B59" s="66">
        <f>SUBTOTAL(103,$A$22:A59)</f>
        <v>38</v>
      </c>
      <c r="C59" s="24" t="s">
        <v>527</v>
      </c>
      <c r="D59" s="31">
        <f t="shared" si="4"/>
        <v>1124579.6199999999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3">
        <v>0</v>
      </c>
      <c r="L59" s="31">
        <v>0</v>
      </c>
      <c r="M59" s="31">
        <v>287</v>
      </c>
      <c r="N59" s="31">
        <v>1107960.22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16619.400000000001</v>
      </c>
      <c r="AD59" s="31">
        <v>0</v>
      </c>
      <c r="AE59" s="31">
        <v>0</v>
      </c>
      <c r="AF59" s="34" t="s">
        <v>274</v>
      </c>
      <c r="AG59" s="34">
        <v>2020</v>
      </c>
      <c r="AH59" s="35">
        <v>2020</v>
      </c>
      <c r="AT59" s="20" t="e">
        <f t="shared" si="7"/>
        <v>#N/A</v>
      </c>
      <c r="BZ59" s="71"/>
      <c r="CD59" s="20" t="e">
        <f t="shared" si="5"/>
        <v>#N/A</v>
      </c>
      <c r="CE59" s="178" t="s">
        <v>1150</v>
      </c>
      <c r="CF59" s="178">
        <v>1093</v>
      </c>
    </row>
    <row r="60" spans="1:84" ht="61.5" x14ac:dyDescent="0.85">
      <c r="A60" s="20">
        <v>1</v>
      </c>
      <c r="B60" s="66">
        <f>SUBTOTAL(103,$A$22:A60)</f>
        <v>39</v>
      </c>
      <c r="C60" s="24" t="s">
        <v>528</v>
      </c>
      <c r="D60" s="31">
        <f t="shared" si="4"/>
        <v>3014550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3">
        <v>0</v>
      </c>
      <c r="L60" s="31">
        <v>0</v>
      </c>
      <c r="M60" s="31">
        <v>1765</v>
      </c>
      <c r="N60" s="31">
        <v>2970000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44550</v>
      </c>
      <c r="AD60" s="31">
        <v>0</v>
      </c>
      <c r="AE60" s="31">
        <v>0</v>
      </c>
      <c r="AF60" s="34" t="s">
        <v>274</v>
      </c>
      <c r="AG60" s="34">
        <v>2020</v>
      </c>
      <c r="AH60" s="35">
        <v>2020</v>
      </c>
      <c r="AT60" s="20" t="e">
        <f t="shared" si="7"/>
        <v>#N/A</v>
      </c>
      <c r="BZ60" s="71"/>
      <c r="CD60" s="20">
        <f t="shared" si="5"/>
        <v>1603.24</v>
      </c>
      <c r="CE60" s="178" t="s">
        <v>1595</v>
      </c>
      <c r="CF60" s="178">
        <v>1004.3</v>
      </c>
    </row>
    <row r="61" spans="1:84" ht="61.5" x14ac:dyDescent="0.85">
      <c r="A61" s="20">
        <v>1</v>
      </c>
      <c r="B61" s="66">
        <f>SUBTOTAL(103,$A$22:A61)</f>
        <v>40</v>
      </c>
      <c r="C61" s="24" t="s">
        <v>529</v>
      </c>
      <c r="D61" s="31">
        <f t="shared" si="4"/>
        <v>4726301.83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3">
        <v>0</v>
      </c>
      <c r="L61" s="31">
        <v>0</v>
      </c>
      <c r="M61" s="31">
        <v>2035</v>
      </c>
      <c r="N61" s="31">
        <v>4656455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69846.83</v>
      </c>
      <c r="AD61" s="31">
        <v>0</v>
      </c>
      <c r="AE61" s="31">
        <v>0</v>
      </c>
      <c r="AF61" s="34" t="s">
        <v>274</v>
      </c>
      <c r="AG61" s="34">
        <v>2020</v>
      </c>
      <c r="AH61" s="35">
        <v>2020</v>
      </c>
      <c r="AT61" s="20" t="e">
        <f t="shared" si="7"/>
        <v>#N/A</v>
      </c>
      <c r="BZ61" s="71"/>
      <c r="CD61" s="20">
        <f t="shared" si="5"/>
        <v>2070.63</v>
      </c>
      <c r="CE61" s="178" t="s">
        <v>1581</v>
      </c>
      <c r="CF61" s="178">
        <v>334.8</v>
      </c>
    </row>
    <row r="62" spans="1:84" ht="61.5" x14ac:dyDescent="0.85">
      <c r="A62" s="20">
        <v>1</v>
      </c>
      <c r="B62" s="66">
        <f>SUBTOTAL(103,$A$22:A62)</f>
        <v>41</v>
      </c>
      <c r="C62" s="24" t="s">
        <v>530</v>
      </c>
      <c r="D62" s="31">
        <f t="shared" si="4"/>
        <v>2888341.13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3">
        <v>0</v>
      </c>
      <c r="L62" s="31">
        <v>0</v>
      </c>
      <c r="M62" s="31">
        <v>918</v>
      </c>
      <c r="N62" s="31">
        <v>2845656.29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42684.84</v>
      </c>
      <c r="AD62" s="31">
        <v>0</v>
      </c>
      <c r="AE62" s="31">
        <v>0</v>
      </c>
      <c r="AF62" s="34" t="s">
        <v>274</v>
      </c>
      <c r="AG62" s="34">
        <v>2020</v>
      </c>
      <c r="AH62" s="35">
        <v>2020</v>
      </c>
      <c r="AT62" s="20" t="e">
        <f t="shared" si="7"/>
        <v>#N/A</v>
      </c>
      <c r="BZ62" s="71"/>
      <c r="CD62" s="20">
        <f t="shared" si="5"/>
        <v>777.1</v>
      </c>
      <c r="CE62" s="178" t="s">
        <v>1593</v>
      </c>
      <c r="CF62" s="178">
        <v>1585</v>
      </c>
    </row>
    <row r="63" spans="1:84" ht="61.5" x14ac:dyDescent="0.85">
      <c r="A63" s="20">
        <v>1</v>
      </c>
      <c r="B63" s="66">
        <f>SUBTOTAL(103,$A$22:A63)</f>
        <v>42</v>
      </c>
      <c r="C63" s="24" t="s">
        <v>531</v>
      </c>
      <c r="D63" s="31">
        <f t="shared" si="4"/>
        <v>4187098.32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3">
        <v>0</v>
      </c>
      <c r="L63" s="31">
        <v>0</v>
      </c>
      <c r="M63" s="31">
        <v>1045</v>
      </c>
      <c r="N63" s="31">
        <v>4125220.02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61878.3</v>
      </c>
      <c r="AD63" s="31">
        <v>0</v>
      </c>
      <c r="AE63" s="31">
        <v>0</v>
      </c>
      <c r="AF63" s="34" t="s">
        <v>274</v>
      </c>
      <c r="AG63" s="34">
        <v>2020</v>
      </c>
      <c r="AH63" s="35">
        <v>2020</v>
      </c>
      <c r="AT63" s="20" t="e">
        <f t="shared" si="7"/>
        <v>#N/A</v>
      </c>
      <c r="BZ63" s="71"/>
      <c r="CD63" s="20">
        <f t="shared" si="5"/>
        <v>1000</v>
      </c>
      <c r="CE63" s="178" t="s">
        <v>1582</v>
      </c>
      <c r="CF63" s="178">
        <v>543.6</v>
      </c>
    </row>
    <row r="64" spans="1:84" ht="61.5" x14ac:dyDescent="0.85">
      <c r="A64" s="20">
        <v>1</v>
      </c>
      <c r="B64" s="66">
        <f>SUBTOTAL(103,$A$22:A64)</f>
        <v>43</v>
      </c>
      <c r="C64" s="24" t="s">
        <v>532</v>
      </c>
      <c r="D64" s="31">
        <f t="shared" si="4"/>
        <v>2740500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3">
        <v>0</v>
      </c>
      <c r="L64" s="31">
        <v>0</v>
      </c>
      <c r="M64" s="31">
        <v>627</v>
      </c>
      <c r="N64" s="31">
        <v>2700000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40500</v>
      </c>
      <c r="AD64" s="31">
        <v>0</v>
      </c>
      <c r="AE64" s="31">
        <v>0</v>
      </c>
      <c r="AF64" s="34" t="s">
        <v>274</v>
      </c>
      <c r="AG64" s="34">
        <v>2020</v>
      </c>
      <c r="AH64" s="35">
        <v>2020</v>
      </c>
      <c r="AT64" s="20" t="e">
        <f t="shared" si="7"/>
        <v>#N/A</v>
      </c>
      <c r="BZ64" s="71"/>
      <c r="CD64" s="20">
        <f t="shared" si="5"/>
        <v>600</v>
      </c>
      <c r="CE64" s="178" t="s">
        <v>457</v>
      </c>
      <c r="CF64" s="178">
        <v>603.71</v>
      </c>
    </row>
    <row r="65" spans="1:84" ht="61.5" x14ac:dyDescent="0.85">
      <c r="A65" s="20">
        <v>1</v>
      </c>
      <c r="B65" s="66">
        <f>SUBTOTAL(103,$A$22:A65)</f>
        <v>44</v>
      </c>
      <c r="C65" s="24" t="s">
        <v>533</v>
      </c>
      <c r="D65" s="31">
        <f t="shared" si="4"/>
        <v>2298174.4700000002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3">
        <v>0</v>
      </c>
      <c r="L65" s="31">
        <v>0</v>
      </c>
      <c r="M65" s="31">
        <v>575.94000000000005</v>
      </c>
      <c r="N65" s="31">
        <v>2169742.58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32546.14</v>
      </c>
      <c r="AD65" s="31">
        <v>95885.75</v>
      </c>
      <c r="AE65" s="31">
        <v>0</v>
      </c>
      <c r="AF65" s="34">
        <v>2020</v>
      </c>
      <c r="AG65" s="34">
        <v>2020</v>
      </c>
      <c r="AH65" s="35">
        <v>2020</v>
      </c>
      <c r="AT65" s="20" t="e">
        <f t="shared" si="7"/>
        <v>#N/A</v>
      </c>
      <c r="BZ65" s="71"/>
      <c r="CD65" s="20" t="e">
        <f t="shared" si="5"/>
        <v>#N/A</v>
      </c>
      <c r="CE65" s="178" t="s">
        <v>458</v>
      </c>
      <c r="CF65" s="178">
        <v>588.4</v>
      </c>
    </row>
    <row r="66" spans="1:84" ht="61.5" x14ac:dyDescent="0.85">
      <c r="A66" s="20">
        <v>1</v>
      </c>
      <c r="B66" s="66">
        <f>SUBTOTAL(103,$A$22:A66)</f>
        <v>45</v>
      </c>
      <c r="C66" s="24" t="s">
        <v>534</v>
      </c>
      <c r="D66" s="31">
        <f t="shared" si="4"/>
        <v>3382151.3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3">
        <v>0</v>
      </c>
      <c r="L66" s="31">
        <v>0</v>
      </c>
      <c r="M66" s="31">
        <v>839</v>
      </c>
      <c r="N66" s="31">
        <v>3332168.77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49982.53</v>
      </c>
      <c r="AD66" s="31">
        <v>0</v>
      </c>
      <c r="AE66" s="31">
        <v>0</v>
      </c>
      <c r="AF66" s="34" t="s">
        <v>274</v>
      </c>
      <c r="AG66" s="34">
        <v>2020</v>
      </c>
      <c r="AH66" s="35">
        <v>2020</v>
      </c>
      <c r="AT66" s="20" t="e">
        <f t="shared" si="7"/>
        <v>#N/A</v>
      </c>
      <c r="BZ66" s="71"/>
      <c r="CD66" s="20">
        <f t="shared" si="5"/>
        <v>800</v>
      </c>
      <c r="CE66" s="178" t="s">
        <v>460</v>
      </c>
      <c r="CF66" s="178">
        <v>577</v>
      </c>
    </row>
    <row r="67" spans="1:84" ht="61.5" x14ac:dyDescent="0.85">
      <c r="A67" s="20">
        <v>1</v>
      </c>
      <c r="B67" s="66">
        <f>SUBTOTAL(103,$A$22:A67)</f>
        <v>46</v>
      </c>
      <c r="C67" s="24" t="s">
        <v>535</v>
      </c>
      <c r="D67" s="31">
        <f t="shared" si="4"/>
        <v>4424547.4400000004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3">
        <v>0</v>
      </c>
      <c r="L67" s="31">
        <v>0</v>
      </c>
      <c r="M67" s="31">
        <v>1065</v>
      </c>
      <c r="N67" s="31">
        <v>4261440.63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63921.61</v>
      </c>
      <c r="AD67" s="31">
        <v>99185.2</v>
      </c>
      <c r="AE67" s="31">
        <v>0</v>
      </c>
      <c r="AF67" s="34">
        <v>2020</v>
      </c>
      <c r="AG67" s="34">
        <v>2020</v>
      </c>
      <c r="AH67" s="35">
        <v>2020</v>
      </c>
      <c r="AT67" s="20" t="e">
        <f t="shared" si="7"/>
        <v>#N/A</v>
      </c>
      <c r="BZ67" s="71"/>
      <c r="CD67" s="20" t="e">
        <f t="shared" si="5"/>
        <v>#N/A</v>
      </c>
      <c r="CE67" s="178" t="s">
        <v>1179</v>
      </c>
      <c r="CF67" s="178">
        <v>633.34</v>
      </c>
    </row>
    <row r="68" spans="1:84" ht="61.5" x14ac:dyDescent="0.85">
      <c r="A68" s="20">
        <v>1</v>
      </c>
      <c r="B68" s="66">
        <f>SUBTOTAL(103,$A$22:A68)</f>
        <v>47</v>
      </c>
      <c r="C68" s="24" t="s">
        <v>536</v>
      </c>
      <c r="D68" s="31">
        <f t="shared" si="4"/>
        <v>3533721.55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3">
        <v>0</v>
      </c>
      <c r="L68" s="31">
        <v>0</v>
      </c>
      <c r="M68" s="31">
        <v>878</v>
      </c>
      <c r="N68" s="31">
        <v>3400000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51000</v>
      </c>
      <c r="AD68" s="31">
        <v>82721.55</v>
      </c>
      <c r="AE68" s="31">
        <v>0</v>
      </c>
      <c r="AF68" s="34">
        <v>2020</v>
      </c>
      <c r="AG68" s="34">
        <v>2020</v>
      </c>
      <c r="AH68" s="35">
        <v>2020</v>
      </c>
      <c r="AT68" s="20" t="e">
        <f t="shared" si="7"/>
        <v>#N/A</v>
      </c>
      <c r="BZ68" s="71"/>
      <c r="CD68" s="20">
        <f t="shared" si="5"/>
        <v>904</v>
      </c>
      <c r="CE68" s="178" t="s">
        <v>1316</v>
      </c>
      <c r="CF68" s="178">
        <v>1674.7</v>
      </c>
    </row>
    <row r="69" spans="1:84" ht="61.5" x14ac:dyDescent="0.85">
      <c r="A69" s="20">
        <v>1</v>
      </c>
      <c r="B69" s="66">
        <f>SUBTOTAL(103,$A$22:A69)</f>
        <v>48</v>
      </c>
      <c r="C69" s="24" t="s">
        <v>537</v>
      </c>
      <c r="D69" s="31">
        <f t="shared" si="4"/>
        <v>3491771.3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3">
        <v>0</v>
      </c>
      <c r="L69" s="31">
        <v>0</v>
      </c>
      <c r="M69" s="31">
        <v>1213.0999999999999</v>
      </c>
      <c r="N69" s="31">
        <v>3440168.77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51602.53</v>
      </c>
      <c r="AD69" s="31">
        <v>0</v>
      </c>
      <c r="AE69" s="31">
        <v>0</v>
      </c>
      <c r="AF69" s="34" t="s">
        <v>274</v>
      </c>
      <c r="AG69" s="34">
        <v>2020</v>
      </c>
      <c r="AH69" s="35">
        <v>2020</v>
      </c>
      <c r="AT69" s="20" t="e">
        <f t="shared" si="7"/>
        <v>#N/A</v>
      </c>
      <c r="BZ69" s="71"/>
      <c r="CD69" s="20">
        <f t="shared" si="5"/>
        <v>1180.0999999999999</v>
      </c>
      <c r="CE69" s="178" t="s">
        <v>797</v>
      </c>
      <c r="CF69" s="178">
        <v>1375.9</v>
      </c>
    </row>
    <row r="70" spans="1:84" ht="61.5" x14ac:dyDescent="0.85">
      <c r="A70" s="20">
        <v>1</v>
      </c>
      <c r="B70" s="66">
        <f>SUBTOTAL(103,$A$22:A70)</f>
        <v>49</v>
      </c>
      <c r="C70" s="24" t="s">
        <v>538</v>
      </c>
      <c r="D70" s="31">
        <f t="shared" si="4"/>
        <v>2347677.0299999998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3">
        <v>0</v>
      </c>
      <c r="L70" s="31">
        <v>0</v>
      </c>
      <c r="M70" s="31">
        <v>565</v>
      </c>
      <c r="N70" s="31">
        <v>2244818.39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33672.28</v>
      </c>
      <c r="AD70" s="31">
        <v>69186.36</v>
      </c>
      <c r="AE70" s="31">
        <v>0</v>
      </c>
      <c r="AF70" s="34">
        <v>2020</v>
      </c>
      <c r="AG70" s="34">
        <v>2020</v>
      </c>
      <c r="AH70" s="35">
        <v>2020</v>
      </c>
      <c r="AT70" s="20" t="e">
        <f t="shared" si="7"/>
        <v>#N/A</v>
      </c>
      <c r="BZ70" s="71"/>
      <c r="CD70" s="20" t="e">
        <f t="shared" si="5"/>
        <v>#N/A</v>
      </c>
      <c r="CE70" s="178" t="s">
        <v>1196</v>
      </c>
      <c r="CF70" s="178">
        <v>1206.22</v>
      </c>
    </row>
    <row r="71" spans="1:84" ht="61.5" x14ac:dyDescent="0.85">
      <c r="A71" s="20">
        <v>1</v>
      </c>
      <c r="B71" s="66">
        <f>SUBTOTAL(103,$A$22:A71)</f>
        <v>50</v>
      </c>
      <c r="C71" s="24" t="s">
        <v>1402</v>
      </c>
      <c r="D71" s="31">
        <f t="shared" si="4"/>
        <v>710500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3">
        <v>0</v>
      </c>
      <c r="L71" s="31">
        <v>0</v>
      </c>
      <c r="M71" s="31">
        <v>330</v>
      </c>
      <c r="N71" s="31">
        <v>700000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10500</v>
      </c>
      <c r="AD71" s="31">
        <v>0</v>
      </c>
      <c r="AE71" s="31">
        <v>0</v>
      </c>
      <c r="AF71" s="34" t="s">
        <v>274</v>
      </c>
      <c r="AG71" s="34">
        <v>2020</v>
      </c>
      <c r="AH71" s="35">
        <v>2020</v>
      </c>
      <c r="BZ71" s="71"/>
      <c r="CD71" s="20">
        <f t="shared" si="5"/>
        <v>334.02</v>
      </c>
      <c r="CE71" s="178" t="s">
        <v>1199</v>
      </c>
      <c r="CF71" s="178">
        <v>1137.3</v>
      </c>
    </row>
    <row r="72" spans="1:84" ht="61.5" x14ac:dyDescent="0.85">
      <c r="A72" s="20">
        <v>1</v>
      </c>
      <c r="B72" s="66">
        <f>SUBTOTAL(103,$A$22:A72)</f>
        <v>51</v>
      </c>
      <c r="C72" s="24" t="s">
        <v>1404</v>
      </c>
      <c r="D72" s="31">
        <f t="shared" si="4"/>
        <v>4183123.2600000002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3">
        <v>0</v>
      </c>
      <c r="L72" s="31">
        <v>0</v>
      </c>
      <c r="M72" s="31">
        <v>903.1</v>
      </c>
      <c r="N72" s="31">
        <v>4121303.7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61819.56</v>
      </c>
      <c r="AD72" s="31">
        <v>0</v>
      </c>
      <c r="AE72" s="31">
        <v>0</v>
      </c>
      <c r="AF72" s="34" t="s">
        <v>274</v>
      </c>
      <c r="AG72" s="34">
        <v>2020</v>
      </c>
      <c r="AH72" s="35">
        <v>2020</v>
      </c>
      <c r="BZ72" s="71"/>
      <c r="CD72" s="20">
        <f t="shared" si="5"/>
        <v>789</v>
      </c>
      <c r="CE72" s="178" t="s">
        <v>389</v>
      </c>
      <c r="CF72" s="178">
        <v>386.2</v>
      </c>
    </row>
    <row r="73" spans="1:84" ht="61.5" x14ac:dyDescent="0.85">
      <c r="A73" s="20">
        <v>1</v>
      </c>
      <c r="B73" s="66">
        <f>SUBTOTAL(103,$A$22:A73)</f>
        <v>52</v>
      </c>
      <c r="C73" s="24" t="s">
        <v>1405</v>
      </c>
      <c r="D73" s="31">
        <f t="shared" si="4"/>
        <v>2324213.5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3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591.9</v>
      </c>
      <c r="R73" s="31">
        <v>2220900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33313.5</v>
      </c>
      <c r="AD73" s="31">
        <v>70000</v>
      </c>
      <c r="AE73" s="31">
        <v>0</v>
      </c>
      <c r="AF73" s="34">
        <v>2020</v>
      </c>
      <c r="AG73" s="34">
        <v>2020</v>
      </c>
      <c r="AH73" s="35">
        <v>2020</v>
      </c>
      <c r="BZ73" s="71"/>
      <c r="CD73" s="20" t="e">
        <f t="shared" si="5"/>
        <v>#N/A</v>
      </c>
      <c r="CE73" s="178" t="s">
        <v>656</v>
      </c>
      <c r="CF73" s="178">
        <v>563.1</v>
      </c>
    </row>
    <row r="74" spans="1:84" ht="61.5" x14ac:dyDescent="0.85">
      <c r="A74" s="20">
        <v>1</v>
      </c>
      <c r="B74" s="66">
        <f>SUBTOTAL(103,$A$22:A74)</f>
        <v>53</v>
      </c>
      <c r="C74" s="24" t="s">
        <v>1123</v>
      </c>
      <c r="D74" s="31">
        <f t="shared" si="4"/>
        <v>4195168.8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3">
        <v>3</v>
      </c>
      <c r="L74" s="31">
        <v>4195168.8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4" t="s">
        <v>274</v>
      </c>
      <c r="AG74" s="34">
        <v>2020</v>
      </c>
      <c r="AH74" s="35" t="s">
        <v>274</v>
      </c>
      <c r="BZ74" s="71"/>
      <c r="CD74" s="20" t="e">
        <f t="shared" si="5"/>
        <v>#N/A</v>
      </c>
      <c r="CE74" s="178" t="s">
        <v>1207</v>
      </c>
      <c r="CF74" s="178">
        <v>540.5</v>
      </c>
    </row>
    <row r="75" spans="1:84" ht="61.5" x14ac:dyDescent="0.85">
      <c r="A75" s="20">
        <v>1</v>
      </c>
      <c r="B75" s="66">
        <f>SUBTOTAL(103,$A$22:A75)</f>
        <v>54</v>
      </c>
      <c r="C75" s="24" t="s">
        <v>1124</v>
      </c>
      <c r="D75" s="31">
        <f t="shared" si="4"/>
        <v>12534252.41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3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5788.43</v>
      </c>
      <c r="R75" s="31">
        <v>12349929.710000001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184322.7</v>
      </c>
      <c r="AD75" s="31">
        <v>0</v>
      </c>
      <c r="AE75" s="31">
        <v>0</v>
      </c>
      <c r="AF75" s="34" t="s">
        <v>274</v>
      </c>
      <c r="AG75" s="34">
        <v>2020</v>
      </c>
      <c r="AH75" s="35">
        <v>2020</v>
      </c>
      <c r="BZ75" s="71"/>
      <c r="CD75" s="20" t="e">
        <f t="shared" si="5"/>
        <v>#N/A</v>
      </c>
      <c r="CE75" s="178" t="s">
        <v>1208</v>
      </c>
      <c r="CF75" s="178">
        <v>603.5</v>
      </c>
    </row>
    <row r="76" spans="1:84" ht="61.5" x14ac:dyDescent="0.85">
      <c r="A76" s="20">
        <v>1</v>
      </c>
      <c r="B76" s="66">
        <f>SUBTOTAL(103,$A$22:A76)</f>
        <v>55</v>
      </c>
      <c r="C76" s="24" t="s">
        <v>1125</v>
      </c>
      <c r="D76" s="31">
        <f t="shared" si="4"/>
        <v>5593157.79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3">
        <v>0</v>
      </c>
      <c r="L76" s="31">
        <v>0</v>
      </c>
      <c r="M76" s="31">
        <v>0</v>
      </c>
      <c r="N76" s="31">
        <v>0</v>
      </c>
      <c r="O76" s="31">
        <v>0</v>
      </c>
      <c r="P76" s="31">
        <v>0</v>
      </c>
      <c r="Q76" s="31">
        <v>3852.16</v>
      </c>
      <c r="R76" s="31">
        <v>5510907.5</v>
      </c>
      <c r="S76" s="31">
        <v>0</v>
      </c>
      <c r="T76" s="31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82250.289999999994</v>
      </c>
      <c r="AD76" s="31">
        <v>0</v>
      </c>
      <c r="AE76" s="31">
        <v>0</v>
      </c>
      <c r="AF76" s="34" t="s">
        <v>274</v>
      </c>
      <c r="AG76" s="34">
        <v>2020</v>
      </c>
      <c r="AH76" s="35">
        <v>2020</v>
      </c>
      <c r="BZ76" s="71"/>
      <c r="CD76" s="20" t="e">
        <f t="shared" si="5"/>
        <v>#N/A</v>
      </c>
      <c r="CE76" s="178" t="s">
        <v>1209</v>
      </c>
      <c r="CF76" s="178">
        <v>1650</v>
      </c>
    </row>
    <row r="77" spans="1:84" ht="61.5" x14ac:dyDescent="0.85">
      <c r="A77" s="20">
        <v>1</v>
      </c>
      <c r="B77" s="66">
        <f>SUBTOTAL(103,$A$22:A77)</f>
        <v>56</v>
      </c>
      <c r="C77" s="24" t="s">
        <v>1126</v>
      </c>
      <c r="D77" s="31">
        <f t="shared" si="4"/>
        <v>2451551.34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3">
        <v>0</v>
      </c>
      <c r="L77" s="31">
        <v>0</v>
      </c>
      <c r="M77" s="31">
        <v>1118</v>
      </c>
      <c r="N77" s="31">
        <v>2415500</v>
      </c>
      <c r="O77" s="31">
        <v>0</v>
      </c>
      <c r="P77" s="31">
        <v>0</v>
      </c>
      <c r="Q77" s="31"/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36051.339999999997</v>
      </c>
      <c r="AD77" s="31">
        <v>0</v>
      </c>
      <c r="AE77" s="31">
        <v>0</v>
      </c>
      <c r="AF77" s="34" t="s">
        <v>274</v>
      </c>
      <c r="AG77" s="34">
        <v>2020</v>
      </c>
      <c r="AH77" s="35">
        <v>2020</v>
      </c>
      <c r="BZ77" s="71"/>
      <c r="CD77" s="20">
        <f t="shared" si="5"/>
        <v>1147.7</v>
      </c>
      <c r="CE77" s="178" t="s">
        <v>1211</v>
      </c>
      <c r="CF77" s="178">
        <v>1906.5</v>
      </c>
    </row>
    <row r="78" spans="1:84" ht="61.5" x14ac:dyDescent="0.85">
      <c r="A78" s="20">
        <v>1</v>
      </c>
      <c r="B78" s="66">
        <f>SUBTOTAL(103,$A$22:A78)</f>
        <v>57</v>
      </c>
      <c r="C78" s="24" t="s">
        <v>1127</v>
      </c>
      <c r="D78" s="31">
        <f t="shared" si="4"/>
        <v>1186477.9099999999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3">
        <v>0</v>
      </c>
      <c r="L78" s="31">
        <v>0</v>
      </c>
      <c r="M78" s="31">
        <v>375.1</v>
      </c>
      <c r="N78" s="31">
        <v>1168943.75</v>
      </c>
      <c r="O78" s="31">
        <v>0</v>
      </c>
      <c r="P78" s="31">
        <v>0</v>
      </c>
      <c r="Q78" s="31">
        <v>0</v>
      </c>
      <c r="R78" s="31">
        <v>0</v>
      </c>
      <c r="S78" s="31">
        <v>0</v>
      </c>
      <c r="T78" s="31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17534.16</v>
      </c>
      <c r="AD78" s="31">
        <v>0</v>
      </c>
      <c r="AE78" s="31">
        <v>0</v>
      </c>
      <c r="AF78" s="34" t="s">
        <v>274</v>
      </c>
      <c r="AG78" s="34">
        <v>2020</v>
      </c>
      <c r="AH78" s="35">
        <v>2020</v>
      </c>
      <c r="BZ78" s="71"/>
      <c r="CD78" s="20">
        <f t="shared" si="5"/>
        <v>218.8</v>
      </c>
      <c r="CE78" s="178" t="s">
        <v>1216</v>
      </c>
      <c r="CF78" s="178">
        <v>1264.96</v>
      </c>
    </row>
    <row r="79" spans="1:84" ht="61.5" x14ac:dyDescent="0.85">
      <c r="A79" s="20">
        <v>1</v>
      </c>
      <c r="B79" s="66">
        <f>SUBTOTAL(103,$A$22:A79)</f>
        <v>58</v>
      </c>
      <c r="C79" s="24" t="s">
        <v>1128</v>
      </c>
      <c r="D79" s="31">
        <f t="shared" si="4"/>
        <v>3306287.7600000002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3">
        <v>0</v>
      </c>
      <c r="L79" s="31">
        <v>0</v>
      </c>
      <c r="M79" s="31">
        <v>912.27</v>
      </c>
      <c r="N79" s="31">
        <v>3257667.08</v>
      </c>
      <c r="O79" s="31">
        <v>0</v>
      </c>
      <c r="P79" s="31">
        <v>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48620.68</v>
      </c>
      <c r="AD79" s="31">
        <v>0</v>
      </c>
      <c r="AE79" s="31">
        <v>0</v>
      </c>
      <c r="AF79" s="34" t="s">
        <v>274</v>
      </c>
      <c r="AG79" s="34">
        <v>2020</v>
      </c>
      <c r="AH79" s="35">
        <v>2020</v>
      </c>
      <c r="BZ79" s="71"/>
      <c r="CD79" s="20">
        <f t="shared" si="5"/>
        <v>912.27</v>
      </c>
      <c r="CE79" s="178" t="s">
        <v>1218</v>
      </c>
      <c r="CF79" s="178">
        <v>781</v>
      </c>
    </row>
    <row r="80" spans="1:84" ht="61.5" x14ac:dyDescent="0.85">
      <c r="A80" s="20">
        <v>1</v>
      </c>
      <c r="B80" s="66">
        <f>SUBTOTAL(103,$A$22:A80)</f>
        <v>59</v>
      </c>
      <c r="C80" s="24" t="s">
        <v>1129</v>
      </c>
      <c r="D80" s="31">
        <f t="shared" si="4"/>
        <v>4301356.74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3">
        <v>0</v>
      </c>
      <c r="L80" s="31">
        <v>0</v>
      </c>
      <c r="M80" s="31">
        <v>0</v>
      </c>
      <c r="N80" s="31">
        <v>0</v>
      </c>
      <c r="O80" s="31">
        <v>0</v>
      </c>
      <c r="P80" s="31">
        <v>0</v>
      </c>
      <c r="Q80" s="31">
        <v>1131.4000000000001</v>
      </c>
      <c r="R80" s="31">
        <v>4238103.05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63253.69</v>
      </c>
      <c r="AD80" s="31">
        <v>0</v>
      </c>
      <c r="AE80" s="31">
        <v>0</v>
      </c>
      <c r="AF80" s="34" t="s">
        <v>274</v>
      </c>
      <c r="AG80" s="34">
        <v>2020</v>
      </c>
      <c r="AH80" s="35">
        <v>2020</v>
      </c>
      <c r="BZ80" s="71"/>
      <c r="CD80" s="20" t="e">
        <f t="shared" si="5"/>
        <v>#N/A</v>
      </c>
      <c r="CE80" s="178" t="s">
        <v>1219</v>
      </c>
      <c r="CF80" s="178">
        <v>2073.9</v>
      </c>
    </row>
    <row r="81" spans="1:84" ht="61.5" x14ac:dyDescent="0.85">
      <c r="A81" s="20">
        <v>1</v>
      </c>
      <c r="B81" s="66">
        <f>SUBTOTAL(103,$A$22:A81)</f>
        <v>60</v>
      </c>
      <c r="C81" s="24" t="s">
        <v>1130</v>
      </c>
      <c r="D81" s="31">
        <f t="shared" si="4"/>
        <v>4778068.24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3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31">
        <v>0</v>
      </c>
      <c r="T81" s="31">
        <v>0</v>
      </c>
      <c r="U81" s="31">
        <v>4707820.9000000004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70247.34</v>
      </c>
      <c r="AD81" s="31">
        <v>0</v>
      </c>
      <c r="AE81" s="31">
        <v>0</v>
      </c>
      <c r="AF81" s="34" t="s">
        <v>274</v>
      </c>
      <c r="AG81" s="34">
        <v>2020</v>
      </c>
      <c r="AH81" s="35">
        <v>2020</v>
      </c>
      <c r="BZ81" s="71"/>
      <c r="CD81" s="20" t="e">
        <f t="shared" si="5"/>
        <v>#N/A</v>
      </c>
      <c r="CE81" s="178" t="s">
        <v>1221</v>
      </c>
      <c r="CF81" s="178">
        <v>1174.18</v>
      </c>
    </row>
    <row r="82" spans="1:84" ht="61.5" x14ac:dyDescent="0.85">
      <c r="A82" s="20">
        <v>1</v>
      </c>
      <c r="B82" s="66">
        <f>SUBTOTAL(103,$A$22:A82)</f>
        <v>61</v>
      </c>
      <c r="C82" s="24" t="s">
        <v>1131</v>
      </c>
      <c r="D82" s="31">
        <f t="shared" si="4"/>
        <v>3376797.5700000003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3">
        <v>0</v>
      </c>
      <c r="L82" s="31">
        <v>0</v>
      </c>
      <c r="M82" s="31">
        <v>970</v>
      </c>
      <c r="N82" s="31">
        <v>3235949.25</v>
      </c>
      <c r="O82" s="31">
        <v>0</v>
      </c>
      <c r="P82" s="31">
        <v>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50017.18</v>
      </c>
      <c r="AD82" s="31">
        <v>90831.14</v>
      </c>
      <c r="AE82" s="31">
        <v>0</v>
      </c>
      <c r="AF82" s="34">
        <v>2020</v>
      </c>
      <c r="AG82" s="34">
        <v>2020</v>
      </c>
      <c r="AH82" s="35">
        <v>2020</v>
      </c>
      <c r="BZ82" s="71"/>
      <c r="CD82" s="20" t="e">
        <f t="shared" si="5"/>
        <v>#N/A</v>
      </c>
      <c r="CE82" s="178" t="s">
        <v>1222</v>
      </c>
      <c r="CF82" s="178">
        <v>484</v>
      </c>
    </row>
    <row r="83" spans="1:84" ht="61.5" x14ac:dyDescent="0.85">
      <c r="A83" s="20">
        <v>1</v>
      </c>
      <c r="B83" s="66">
        <f>SUBTOTAL(103,$A$22:A83)</f>
        <v>62</v>
      </c>
      <c r="C83" s="24" t="s">
        <v>1132</v>
      </c>
      <c r="D83" s="31">
        <f t="shared" si="4"/>
        <v>4374326.75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3">
        <v>0</v>
      </c>
      <c r="L83" s="31">
        <v>0</v>
      </c>
      <c r="M83" s="31">
        <v>1013.6</v>
      </c>
      <c r="N83" s="31">
        <v>4310000</v>
      </c>
      <c r="O83" s="31">
        <v>0</v>
      </c>
      <c r="P83" s="31">
        <v>0</v>
      </c>
      <c r="Q83" s="31">
        <v>0</v>
      </c>
      <c r="R83" s="31">
        <v>0</v>
      </c>
      <c r="S83" s="31">
        <v>0</v>
      </c>
      <c r="T83" s="31">
        <v>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64326.75</v>
      </c>
      <c r="AD83" s="31">
        <v>0</v>
      </c>
      <c r="AE83" s="31">
        <v>0</v>
      </c>
      <c r="AF83" s="34" t="s">
        <v>274</v>
      </c>
      <c r="AG83" s="34">
        <v>2020</v>
      </c>
      <c r="AH83" s="35">
        <v>2020</v>
      </c>
      <c r="BZ83" s="71"/>
      <c r="CD83" s="20">
        <f t="shared" si="5"/>
        <v>979.44</v>
      </c>
      <c r="CE83" s="178" t="s">
        <v>1223</v>
      </c>
      <c r="CF83" s="178">
        <v>1161</v>
      </c>
    </row>
    <row r="84" spans="1:84" ht="61.5" x14ac:dyDescent="0.85">
      <c r="A84" s="20">
        <v>1</v>
      </c>
      <c r="B84" s="66">
        <f>SUBTOTAL(103,$A$22:A84)</f>
        <v>63</v>
      </c>
      <c r="C84" s="24" t="s">
        <v>1133</v>
      </c>
      <c r="D84" s="31">
        <f t="shared" si="4"/>
        <v>3308655.5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3">
        <v>0</v>
      </c>
      <c r="L84" s="31">
        <v>0</v>
      </c>
      <c r="M84" s="31">
        <v>746.77</v>
      </c>
      <c r="N84" s="31">
        <v>3260000</v>
      </c>
      <c r="O84" s="31">
        <v>0</v>
      </c>
      <c r="P84" s="31">
        <v>0</v>
      </c>
      <c r="Q84" s="31">
        <v>0</v>
      </c>
      <c r="R84" s="31">
        <v>0</v>
      </c>
      <c r="S84" s="31">
        <v>0</v>
      </c>
      <c r="T84" s="31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48655.5</v>
      </c>
      <c r="AD84" s="31">
        <v>0</v>
      </c>
      <c r="AE84" s="31">
        <v>0</v>
      </c>
      <c r="AF84" s="34" t="s">
        <v>274</v>
      </c>
      <c r="AG84" s="34">
        <v>2020</v>
      </c>
      <c r="AH84" s="35">
        <v>2020</v>
      </c>
      <c r="BZ84" s="71"/>
      <c r="CD84" s="20">
        <f t="shared" si="5"/>
        <v>730.17</v>
      </c>
      <c r="CE84" s="178" t="s">
        <v>1225</v>
      </c>
      <c r="CF84" s="178">
        <v>452.1</v>
      </c>
    </row>
    <row r="85" spans="1:84" ht="61.5" x14ac:dyDescent="0.85">
      <c r="A85" s="20">
        <v>1</v>
      </c>
      <c r="B85" s="66">
        <f>SUBTOTAL(103,$A$22:A85)</f>
        <v>64</v>
      </c>
      <c r="C85" s="24" t="s">
        <v>1135</v>
      </c>
      <c r="D85" s="31">
        <f t="shared" si="4"/>
        <v>5678840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3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1343.2</v>
      </c>
      <c r="R85" s="31">
        <v>5595329.7000000002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83510.3</v>
      </c>
      <c r="AD85" s="31">
        <v>0</v>
      </c>
      <c r="AE85" s="31">
        <v>0</v>
      </c>
      <c r="AF85" s="34" t="s">
        <v>274</v>
      </c>
      <c r="AG85" s="34">
        <v>2020</v>
      </c>
      <c r="AH85" s="35">
        <v>2020</v>
      </c>
      <c r="BZ85" s="71"/>
      <c r="CD85" s="20" t="e">
        <f t="shared" si="5"/>
        <v>#N/A</v>
      </c>
      <c r="CE85" s="178" t="s">
        <v>1226</v>
      </c>
      <c r="CF85" s="178">
        <v>992</v>
      </c>
    </row>
    <row r="86" spans="1:84" ht="61.5" x14ac:dyDescent="0.85">
      <c r="A86" s="20">
        <v>1</v>
      </c>
      <c r="B86" s="66">
        <f>SUBTOTAL(103,$A$22:A86)</f>
        <v>65</v>
      </c>
      <c r="C86" s="24" t="s">
        <v>1136</v>
      </c>
      <c r="D86" s="31">
        <f t="shared" si="4"/>
        <v>2287681.02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3">
        <v>0</v>
      </c>
      <c r="L86" s="31">
        <v>0</v>
      </c>
      <c r="M86" s="31">
        <v>934.1</v>
      </c>
      <c r="N86" s="31">
        <v>2253872.9300000002</v>
      </c>
      <c r="O86" s="31">
        <v>0</v>
      </c>
      <c r="P86" s="31">
        <v>0</v>
      </c>
      <c r="Q86" s="31">
        <v>0</v>
      </c>
      <c r="R86" s="31">
        <v>0</v>
      </c>
      <c r="S86" s="31">
        <v>0</v>
      </c>
      <c r="T86" s="31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33808.089999999997</v>
      </c>
      <c r="AD86" s="31">
        <v>0</v>
      </c>
      <c r="AE86" s="31">
        <v>0</v>
      </c>
      <c r="AF86" s="34" t="s">
        <v>274</v>
      </c>
      <c r="AG86" s="34">
        <v>2020</v>
      </c>
      <c r="AH86" s="35">
        <v>2020</v>
      </c>
      <c r="BZ86" s="71"/>
      <c r="CD86" s="20">
        <f t="shared" si="5"/>
        <v>874.18</v>
      </c>
      <c r="CE86" s="178" t="s">
        <v>661</v>
      </c>
      <c r="CF86" s="178">
        <v>796.1</v>
      </c>
    </row>
    <row r="87" spans="1:84" ht="61.5" x14ac:dyDescent="0.85">
      <c r="A87" s="20">
        <v>1</v>
      </c>
      <c r="B87" s="66">
        <f>SUBTOTAL(103,$A$22:A87)</f>
        <v>66</v>
      </c>
      <c r="C87" s="24" t="s">
        <v>1137</v>
      </c>
      <c r="D87" s="31">
        <f t="shared" ref="D87:D121" si="8">E87+F87+G87+H87+I87+J87+L87+N87+P87+R87+T87+U87+V87+W87+X87+Y87+Z87+AA87+AB87+AC87+AD87+AE87</f>
        <v>2373191.6399999997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3">
        <v>0</v>
      </c>
      <c r="L87" s="31">
        <v>0</v>
      </c>
      <c r="M87" s="31">
        <v>0</v>
      </c>
      <c r="N87" s="31">
        <v>0</v>
      </c>
      <c r="O87" s="31">
        <v>0</v>
      </c>
      <c r="P87" s="31">
        <v>0</v>
      </c>
      <c r="Q87" s="31">
        <v>494.5</v>
      </c>
      <c r="R87" s="31">
        <v>2338119.84</v>
      </c>
      <c r="S87" s="31">
        <v>0</v>
      </c>
      <c r="T87" s="31">
        <v>0</v>
      </c>
      <c r="U87" s="31">
        <v>0</v>
      </c>
      <c r="V87" s="31">
        <v>0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35071.800000000003</v>
      </c>
      <c r="AD87" s="31">
        <v>0</v>
      </c>
      <c r="AE87" s="31">
        <v>0</v>
      </c>
      <c r="AF87" s="34" t="s">
        <v>274</v>
      </c>
      <c r="AG87" s="34">
        <v>2020</v>
      </c>
      <c r="AH87" s="35">
        <v>2020</v>
      </c>
      <c r="BZ87" s="71"/>
      <c r="CD87" s="20" t="e">
        <f t="shared" ref="CD87:CD150" si="9">VLOOKUP(C87,CE:CF,2,FALSE)</f>
        <v>#N/A</v>
      </c>
      <c r="CE87" s="178" t="s">
        <v>1212</v>
      </c>
      <c r="CF87" s="178">
        <v>1995.2</v>
      </c>
    </row>
    <row r="88" spans="1:84" ht="61.5" x14ac:dyDescent="0.85">
      <c r="A88" s="20">
        <v>1</v>
      </c>
      <c r="B88" s="66">
        <f>SUBTOTAL(103,$A$22:A88)</f>
        <v>67</v>
      </c>
      <c r="C88" s="24" t="s">
        <v>1138</v>
      </c>
      <c r="D88" s="31">
        <f t="shared" si="8"/>
        <v>3730864.3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3">
        <v>0</v>
      </c>
      <c r="L88" s="31">
        <v>0</v>
      </c>
      <c r="M88" s="31">
        <v>1554.3</v>
      </c>
      <c r="N88" s="31">
        <v>3676000</v>
      </c>
      <c r="O88" s="31">
        <v>0</v>
      </c>
      <c r="P88" s="31">
        <v>0</v>
      </c>
      <c r="Q88" s="31">
        <v>0</v>
      </c>
      <c r="R88" s="31">
        <v>0</v>
      </c>
      <c r="S88" s="31">
        <v>0</v>
      </c>
      <c r="T88" s="31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54864.3</v>
      </c>
      <c r="AD88" s="31">
        <v>0</v>
      </c>
      <c r="AE88" s="31">
        <v>0</v>
      </c>
      <c r="AF88" s="34" t="s">
        <v>274</v>
      </c>
      <c r="AG88" s="34">
        <v>2020</v>
      </c>
      <c r="AH88" s="35">
        <v>2020</v>
      </c>
      <c r="BZ88" s="71"/>
      <c r="CD88" s="20">
        <f t="shared" si="9"/>
        <v>1200</v>
      </c>
      <c r="CE88" s="178" t="s">
        <v>1228</v>
      </c>
      <c r="CF88" s="178">
        <v>855</v>
      </c>
    </row>
    <row r="89" spans="1:84" ht="61.5" x14ac:dyDescent="0.85">
      <c r="A89" s="20">
        <v>1</v>
      </c>
      <c r="B89" s="66">
        <f>SUBTOTAL(103,$A$22:A89)</f>
        <v>68</v>
      </c>
      <c r="C89" s="24" t="s">
        <v>1139</v>
      </c>
      <c r="D89" s="31">
        <f t="shared" si="8"/>
        <v>2982453.63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3">
        <v>0</v>
      </c>
      <c r="L89" s="31">
        <v>0</v>
      </c>
      <c r="M89" s="31">
        <v>450</v>
      </c>
      <c r="N89" s="31">
        <v>2938595.1</v>
      </c>
      <c r="O89" s="31">
        <v>0</v>
      </c>
      <c r="P89" s="31">
        <v>0</v>
      </c>
      <c r="Q89" s="31">
        <v>0</v>
      </c>
      <c r="R89" s="31">
        <v>0</v>
      </c>
      <c r="S89" s="31">
        <v>0</v>
      </c>
      <c r="T89" s="31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43858.53</v>
      </c>
      <c r="AD89" s="31">
        <v>0</v>
      </c>
      <c r="AE89" s="31">
        <v>0</v>
      </c>
      <c r="AF89" s="34" t="s">
        <v>274</v>
      </c>
      <c r="AG89" s="34">
        <v>2020</v>
      </c>
      <c r="AH89" s="35">
        <v>2020</v>
      </c>
      <c r="BZ89" s="71"/>
      <c r="CD89" s="20">
        <f t="shared" si="9"/>
        <v>946</v>
      </c>
      <c r="CE89" s="178" t="s">
        <v>1214</v>
      </c>
      <c r="CF89" s="178">
        <v>1155.9000000000001</v>
      </c>
    </row>
    <row r="90" spans="1:84" ht="61.5" x14ac:dyDescent="0.85">
      <c r="A90" s="20">
        <v>1</v>
      </c>
      <c r="B90" s="66">
        <f>SUBTOTAL(103,$A$22:A90)</f>
        <v>69</v>
      </c>
      <c r="C90" s="24" t="s">
        <v>1140</v>
      </c>
      <c r="D90" s="31">
        <f t="shared" si="8"/>
        <v>1571848.57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3">
        <v>0</v>
      </c>
      <c r="L90" s="31">
        <v>0</v>
      </c>
      <c r="M90" s="31">
        <v>450</v>
      </c>
      <c r="N90" s="31">
        <v>1548733.72</v>
      </c>
      <c r="O90" s="31">
        <v>0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23114.85</v>
      </c>
      <c r="AD90" s="31">
        <v>0</v>
      </c>
      <c r="AE90" s="31">
        <v>0</v>
      </c>
      <c r="AF90" s="34" t="s">
        <v>274</v>
      </c>
      <c r="AG90" s="34">
        <v>2020</v>
      </c>
      <c r="AH90" s="35">
        <v>2020</v>
      </c>
      <c r="BZ90" s="71"/>
      <c r="CD90" s="20">
        <f t="shared" si="9"/>
        <v>365.5</v>
      </c>
      <c r="CE90" s="178" t="s">
        <v>700</v>
      </c>
      <c r="CF90" s="178">
        <v>1022</v>
      </c>
    </row>
    <row r="91" spans="1:84" ht="61.5" x14ac:dyDescent="0.85">
      <c r="A91" s="20">
        <v>1</v>
      </c>
      <c r="B91" s="66">
        <f>SUBTOTAL(103,$A$22:A91)</f>
        <v>70</v>
      </c>
      <c r="C91" s="24" t="s">
        <v>1141</v>
      </c>
      <c r="D91" s="31">
        <f t="shared" si="8"/>
        <v>1564566.8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3">
        <v>0</v>
      </c>
      <c r="L91" s="31">
        <v>0</v>
      </c>
      <c r="M91" s="31">
        <v>450</v>
      </c>
      <c r="N91" s="31">
        <v>1541445.12</v>
      </c>
      <c r="O91" s="31">
        <v>0</v>
      </c>
      <c r="P91" s="31">
        <v>0</v>
      </c>
      <c r="Q91" s="31">
        <v>0</v>
      </c>
      <c r="R91" s="31">
        <v>0</v>
      </c>
      <c r="S91" s="31">
        <v>0</v>
      </c>
      <c r="T91" s="31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23121.68</v>
      </c>
      <c r="AD91" s="31">
        <v>0</v>
      </c>
      <c r="AE91" s="31">
        <v>0</v>
      </c>
      <c r="AF91" s="34" t="s">
        <v>274</v>
      </c>
      <c r="AG91" s="34">
        <v>2020</v>
      </c>
      <c r="AH91" s="35">
        <v>2020</v>
      </c>
      <c r="BZ91" s="71"/>
      <c r="CD91" s="20">
        <f t="shared" si="9"/>
        <v>365.5</v>
      </c>
      <c r="CE91" s="178" t="s">
        <v>1229</v>
      </c>
      <c r="CF91" s="178">
        <v>407.8</v>
      </c>
    </row>
    <row r="92" spans="1:84" ht="61.5" x14ac:dyDescent="0.85">
      <c r="A92" s="20">
        <v>1</v>
      </c>
      <c r="B92" s="66">
        <f>SUBTOTAL(103,$A$22:A92)</f>
        <v>71</v>
      </c>
      <c r="C92" s="24" t="s">
        <v>1142</v>
      </c>
      <c r="D92" s="31">
        <f t="shared" si="8"/>
        <v>2880785.14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3">
        <v>2</v>
      </c>
      <c r="L92" s="31">
        <v>2880785.14</v>
      </c>
      <c r="M92" s="31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31">
        <v>0</v>
      </c>
      <c r="T92" s="31">
        <v>0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4" t="s">
        <v>274</v>
      </c>
      <c r="AG92" s="34">
        <v>2020</v>
      </c>
      <c r="AH92" s="35" t="s">
        <v>274</v>
      </c>
      <c r="BZ92" s="71"/>
      <c r="CD92" s="20" t="e">
        <f t="shared" si="9"/>
        <v>#N/A</v>
      </c>
      <c r="CE92" s="178" t="s">
        <v>1230</v>
      </c>
      <c r="CF92" s="178">
        <v>953.5</v>
      </c>
    </row>
    <row r="93" spans="1:84" ht="61.5" x14ac:dyDescent="0.85">
      <c r="A93" s="20">
        <v>1</v>
      </c>
      <c r="B93" s="66">
        <f>SUBTOTAL(103,$A$22:A93)</f>
        <v>72</v>
      </c>
      <c r="C93" s="24" t="s">
        <v>1143</v>
      </c>
      <c r="D93" s="31">
        <f t="shared" si="8"/>
        <v>3859190.52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3">
        <v>2</v>
      </c>
      <c r="L93" s="31">
        <v>3859190.52</v>
      </c>
      <c r="M93" s="31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31">
        <v>0</v>
      </c>
      <c r="T93" s="31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4" t="s">
        <v>274</v>
      </c>
      <c r="AG93" s="34">
        <v>2020</v>
      </c>
      <c r="AH93" s="35" t="s">
        <v>274</v>
      </c>
      <c r="BZ93" s="71"/>
      <c r="CD93" s="20" t="e">
        <f t="shared" si="9"/>
        <v>#N/A</v>
      </c>
      <c r="CE93" s="178" t="s">
        <v>1238</v>
      </c>
      <c r="CF93" s="178">
        <v>738.92</v>
      </c>
    </row>
    <row r="94" spans="1:84" ht="61.5" x14ac:dyDescent="0.85">
      <c r="A94" s="20">
        <v>1</v>
      </c>
      <c r="B94" s="66">
        <f>SUBTOTAL(103,$A$22:A94)</f>
        <v>73</v>
      </c>
      <c r="C94" s="24" t="s">
        <v>1146</v>
      </c>
      <c r="D94" s="31">
        <f t="shared" si="8"/>
        <v>424166.91999999993</v>
      </c>
      <c r="E94" s="31">
        <v>138685.66</v>
      </c>
      <c r="F94" s="31">
        <v>0</v>
      </c>
      <c r="G94" s="31">
        <v>0</v>
      </c>
      <c r="H94" s="31">
        <v>279243.65999999997</v>
      </c>
      <c r="I94" s="31">
        <v>0</v>
      </c>
      <c r="J94" s="31">
        <v>0</v>
      </c>
      <c r="K94" s="33">
        <v>0</v>
      </c>
      <c r="L94" s="31">
        <v>0</v>
      </c>
      <c r="M94" s="31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31">
        <v>0</v>
      </c>
      <c r="T94" s="31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6237.6</v>
      </c>
      <c r="AD94" s="31">
        <v>0</v>
      </c>
      <c r="AE94" s="31">
        <v>0</v>
      </c>
      <c r="AF94" s="34" t="s">
        <v>274</v>
      </c>
      <c r="AG94" s="34">
        <v>2020</v>
      </c>
      <c r="AH94" s="35">
        <v>2020</v>
      </c>
      <c r="BZ94" s="71"/>
      <c r="CD94" s="20" t="e">
        <f t="shared" si="9"/>
        <v>#N/A</v>
      </c>
      <c r="CE94" s="178" t="s">
        <v>1590</v>
      </c>
      <c r="CF94" s="178">
        <v>275.39999999999998</v>
      </c>
    </row>
    <row r="95" spans="1:84" ht="61.5" x14ac:dyDescent="0.85">
      <c r="A95" s="20">
        <v>1</v>
      </c>
      <c r="B95" s="66">
        <f>SUBTOTAL(103,$A$22:A95)</f>
        <v>74</v>
      </c>
      <c r="C95" s="24" t="s">
        <v>1152</v>
      </c>
      <c r="D95" s="31">
        <f t="shared" si="8"/>
        <v>4258940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3">
        <v>0</v>
      </c>
      <c r="L95" s="31">
        <v>0</v>
      </c>
      <c r="M95" s="31">
        <v>900.3</v>
      </c>
      <c r="N95" s="31">
        <v>4196000</v>
      </c>
      <c r="O95" s="31">
        <v>0</v>
      </c>
      <c r="P95" s="31">
        <v>0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62940</v>
      </c>
      <c r="AD95" s="31">
        <v>0</v>
      </c>
      <c r="AE95" s="31">
        <v>0</v>
      </c>
      <c r="AF95" s="34" t="s">
        <v>274</v>
      </c>
      <c r="AG95" s="34">
        <v>2020</v>
      </c>
      <c r="AH95" s="35">
        <v>2020</v>
      </c>
      <c r="BZ95" s="71"/>
      <c r="CD95" s="20">
        <f t="shared" si="9"/>
        <v>1124.75</v>
      </c>
      <c r="CE95" s="178" t="s">
        <v>1600</v>
      </c>
      <c r="CF95" s="178">
        <v>344.5</v>
      </c>
    </row>
    <row r="96" spans="1:84" ht="61.5" x14ac:dyDescent="0.85">
      <c r="A96" s="20">
        <v>1</v>
      </c>
      <c r="B96" s="66">
        <f>SUBTOTAL(103,$A$22:A96)</f>
        <v>75</v>
      </c>
      <c r="C96" s="24" t="s">
        <v>1153</v>
      </c>
      <c r="D96" s="31">
        <f t="shared" si="8"/>
        <v>3712372.02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3">
        <v>0</v>
      </c>
      <c r="L96" s="31">
        <v>0</v>
      </c>
      <c r="M96" s="31">
        <v>0</v>
      </c>
      <c r="N96" s="31">
        <v>0</v>
      </c>
      <c r="O96" s="31">
        <v>0</v>
      </c>
      <c r="P96" s="31">
        <v>0</v>
      </c>
      <c r="Q96" s="31">
        <v>820</v>
      </c>
      <c r="R96" s="31">
        <v>3657509.38</v>
      </c>
      <c r="S96" s="31">
        <v>0</v>
      </c>
      <c r="T96" s="31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54862.64</v>
      </c>
      <c r="AD96" s="31">
        <v>0</v>
      </c>
      <c r="AE96" s="31">
        <v>0</v>
      </c>
      <c r="AF96" s="34" t="s">
        <v>274</v>
      </c>
      <c r="AG96" s="34">
        <v>2020</v>
      </c>
      <c r="AH96" s="35">
        <v>2020</v>
      </c>
      <c r="BZ96" s="71"/>
      <c r="CD96" s="20" t="e">
        <f t="shared" si="9"/>
        <v>#N/A</v>
      </c>
      <c r="CE96" s="178" t="s">
        <v>1246</v>
      </c>
      <c r="CF96" s="178">
        <v>374.3</v>
      </c>
    </row>
    <row r="97" spans="1:84" ht="61.5" x14ac:dyDescent="0.85">
      <c r="A97" s="20">
        <v>1</v>
      </c>
      <c r="B97" s="66">
        <f>SUBTOTAL(103,$A$22:A97)</f>
        <v>76</v>
      </c>
      <c r="C97" s="24" t="s">
        <v>1154</v>
      </c>
      <c r="D97" s="31">
        <f t="shared" si="8"/>
        <v>1900391.55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3">
        <v>0</v>
      </c>
      <c r="L97" s="31">
        <v>0</v>
      </c>
      <c r="M97" s="31">
        <v>0</v>
      </c>
      <c r="N97" s="31">
        <v>0</v>
      </c>
      <c r="O97" s="31">
        <v>0</v>
      </c>
      <c r="P97" s="31">
        <v>0</v>
      </c>
      <c r="Q97" s="31">
        <v>511</v>
      </c>
      <c r="R97" s="31">
        <v>1872306.95</v>
      </c>
      <c r="S97" s="31">
        <v>0</v>
      </c>
      <c r="T97" s="31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v>28084.6</v>
      </c>
      <c r="AD97" s="31">
        <v>0</v>
      </c>
      <c r="AE97" s="31">
        <v>0</v>
      </c>
      <c r="AF97" s="34" t="s">
        <v>274</v>
      </c>
      <c r="AG97" s="34">
        <v>2020</v>
      </c>
      <c r="AH97" s="35">
        <v>2020</v>
      </c>
      <c r="BZ97" s="71"/>
      <c r="CD97" s="20" t="e">
        <f t="shared" si="9"/>
        <v>#N/A</v>
      </c>
      <c r="CE97" s="178" t="s">
        <v>1583</v>
      </c>
      <c r="CF97" s="178">
        <v>329.1</v>
      </c>
    </row>
    <row r="98" spans="1:84" ht="61.5" x14ac:dyDescent="0.85">
      <c r="A98" s="20">
        <v>1</v>
      </c>
      <c r="B98" s="66">
        <f>SUBTOTAL(103,$A$22:A98)</f>
        <v>77</v>
      </c>
      <c r="C98" s="24" t="s">
        <v>1155</v>
      </c>
      <c r="D98" s="31">
        <f t="shared" si="8"/>
        <v>2106147.9500000002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3">
        <v>0</v>
      </c>
      <c r="L98" s="31">
        <v>0</v>
      </c>
      <c r="M98" s="31">
        <v>0</v>
      </c>
      <c r="N98" s="31">
        <v>0</v>
      </c>
      <c r="O98" s="31">
        <v>0</v>
      </c>
      <c r="P98" s="31">
        <v>0</v>
      </c>
      <c r="Q98" s="31">
        <v>515.73</v>
      </c>
      <c r="R98" s="31">
        <v>2075022.61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31125.34</v>
      </c>
      <c r="AD98" s="31">
        <v>0</v>
      </c>
      <c r="AE98" s="31">
        <v>0</v>
      </c>
      <c r="AF98" s="34" t="s">
        <v>274</v>
      </c>
      <c r="AG98" s="34">
        <v>2020</v>
      </c>
      <c r="AH98" s="35">
        <v>2020</v>
      </c>
      <c r="BZ98" s="71"/>
      <c r="CD98" s="20" t="e">
        <f t="shared" si="9"/>
        <v>#N/A</v>
      </c>
      <c r="CE98" s="178" t="s">
        <v>1584</v>
      </c>
      <c r="CF98" s="178">
        <v>611</v>
      </c>
    </row>
    <row r="99" spans="1:84" ht="61.5" x14ac:dyDescent="0.85">
      <c r="A99" s="20">
        <v>1</v>
      </c>
      <c r="B99" s="66">
        <f>SUBTOTAL(103,$A$22:A99)</f>
        <v>78</v>
      </c>
      <c r="C99" s="24" t="s">
        <v>1156</v>
      </c>
      <c r="D99" s="31">
        <f t="shared" si="8"/>
        <v>3257277.38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3">
        <v>0</v>
      </c>
      <c r="L99" s="31">
        <v>0</v>
      </c>
      <c r="M99" s="31">
        <v>0</v>
      </c>
      <c r="N99" s="31">
        <v>0</v>
      </c>
      <c r="O99" s="31">
        <v>0</v>
      </c>
      <c r="P99" s="31">
        <v>0</v>
      </c>
      <c r="Q99" s="31">
        <v>1522.8</v>
      </c>
      <c r="R99" s="31">
        <v>3209377.42</v>
      </c>
      <c r="S99" s="31">
        <v>0</v>
      </c>
      <c r="T99" s="31">
        <v>0</v>
      </c>
      <c r="U99" s="31">
        <v>0</v>
      </c>
      <c r="V99" s="31">
        <v>0</v>
      </c>
      <c r="W99" s="31">
        <v>0</v>
      </c>
      <c r="X99" s="31">
        <v>0</v>
      </c>
      <c r="Y99" s="31">
        <v>0</v>
      </c>
      <c r="Z99" s="31">
        <v>0</v>
      </c>
      <c r="AA99" s="31">
        <v>0</v>
      </c>
      <c r="AB99" s="31">
        <v>0</v>
      </c>
      <c r="AC99" s="31">
        <v>47899.96</v>
      </c>
      <c r="AD99" s="31">
        <v>0</v>
      </c>
      <c r="AE99" s="31">
        <v>0</v>
      </c>
      <c r="AF99" s="34" t="s">
        <v>274</v>
      </c>
      <c r="AG99" s="34">
        <v>2020</v>
      </c>
      <c r="AH99" s="35">
        <v>2020</v>
      </c>
      <c r="BZ99" s="71"/>
      <c r="CD99" s="20" t="e">
        <f t="shared" si="9"/>
        <v>#N/A</v>
      </c>
      <c r="CE99" s="178" t="s">
        <v>1598</v>
      </c>
      <c r="CF99" s="178">
        <v>606</v>
      </c>
    </row>
    <row r="100" spans="1:84" ht="61.5" x14ac:dyDescent="0.85">
      <c r="A100" s="20">
        <v>1</v>
      </c>
      <c r="B100" s="66">
        <f>SUBTOTAL(103,$A$22:A100)</f>
        <v>79</v>
      </c>
      <c r="C100" s="24" t="s">
        <v>1157</v>
      </c>
      <c r="D100" s="31">
        <f t="shared" si="8"/>
        <v>2278510.5799999996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3">
        <v>0</v>
      </c>
      <c r="L100" s="31">
        <v>0</v>
      </c>
      <c r="M100" s="31">
        <v>624.25</v>
      </c>
      <c r="N100" s="31">
        <v>2244838.0099999998</v>
      </c>
      <c r="O100" s="31">
        <v>0</v>
      </c>
      <c r="P100" s="31">
        <v>0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33672.57</v>
      </c>
      <c r="AD100" s="31">
        <v>0</v>
      </c>
      <c r="AE100" s="31">
        <v>0</v>
      </c>
      <c r="AF100" s="34" t="s">
        <v>274</v>
      </c>
      <c r="AG100" s="34">
        <v>2020</v>
      </c>
      <c r="AH100" s="35">
        <v>2020</v>
      </c>
      <c r="BZ100" s="71"/>
      <c r="CD100" s="20">
        <f t="shared" si="9"/>
        <v>556.6</v>
      </c>
      <c r="CE100" s="178" t="s">
        <v>1585</v>
      </c>
      <c r="CF100" s="178">
        <v>249</v>
      </c>
    </row>
    <row r="101" spans="1:84" ht="61.5" x14ac:dyDescent="0.85">
      <c r="A101" s="20">
        <v>1</v>
      </c>
      <c r="B101" s="66">
        <f>SUBTOTAL(103,$A$22:A101)</f>
        <v>80</v>
      </c>
      <c r="C101" s="24" t="s">
        <v>1158</v>
      </c>
      <c r="D101" s="31">
        <f t="shared" si="8"/>
        <v>2391493.25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3">
        <v>0</v>
      </c>
      <c r="L101" s="31">
        <v>0</v>
      </c>
      <c r="M101" s="31">
        <v>0</v>
      </c>
      <c r="N101" s="31">
        <v>0</v>
      </c>
      <c r="O101" s="31">
        <v>0</v>
      </c>
      <c r="P101" s="31">
        <v>0</v>
      </c>
      <c r="Q101" s="31">
        <v>649.6</v>
      </c>
      <c r="R101" s="31">
        <v>2356150.9900000002</v>
      </c>
      <c r="S101" s="31">
        <v>0</v>
      </c>
      <c r="T101" s="31">
        <v>0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0</v>
      </c>
      <c r="AC101" s="31">
        <v>35342.26</v>
      </c>
      <c r="AD101" s="31">
        <v>0</v>
      </c>
      <c r="AE101" s="31">
        <v>0</v>
      </c>
      <c r="AF101" s="34" t="s">
        <v>274</v>
      </c>
      <c r="AG101" s="34">
        <v>2020</v>
      </c>
      <c r="AH101" s="35">
        <v>2020</v>
      </c>
      <c r="BZ101" s="71"/>
      <c r="CD101" s="20" t="e">
        <f t="shared" si="9"/>
        <v>#N/A</v>
      </c>
      <c r="CE101" s="178" t="s">
        <v>1586</v>
      </c>
      <c r="CF101" s="178">
        <v>309</v>
      </c>
    </row>
    <row r="102" spans="1:84" ht="61.5" x14ac:dyDescent="0.85">
      <c r="A102" s="20">
        <v>1</v>
      </c>
      <c r="B102" s="66">
        <f>SUBTOTAL(103,$A$22:A102)</f>
        <v>81</v>
      </c>
      <c r="C102" s="24" t="s">
        <v>1159</v>
      </c>
      <c r="D102" s="31">
        <f t="shared" si="8"/>
        <v>1057247.3700000001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3">
        <v>0</v>
      </c>
      <c r="L102" s="31">
        <v>0</v>
      </c>
      <c r="M102" s="31">
        <v>0</v>
      </c>
      <c r="N102" s="31">
        <v>0</v>
      </c>
      <c r="O102" s="31">
        <v>780</v>
      </c>
      <c r="P102" s="31">
        <v>1041700</v>
      </c>
      <c r="Q102" s="31">
        <v>0</v>
      </c>
      <c r="R102" s="31">
        <v>0</v>
      </c>
      <c r="S102" s="31">
        <v>0</v>
      </c>
      <c r="T102" s="31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15547.37</v>
      </c>
      <c r="AD102" s="31">
        <v>0</v>
      </c>
      <c r="AE102" s="31">
        <v>0</v>
      </c>
      <c r="AF102" s="34" t="s">
        <v>274</v>
      </c>
      <c r="AG102" s="34">
        <v>2020</v>
      </c>
      <c r="AH102" s="35">
        <v>2020</v>
      </c>
      <c r="BZ102" s="71"/>
      <c r="CD102" s="20" t="e">
        <f t="shared" si="9"/>
        <v>#N/A</v>
      </c>
      <c r="CE102" s="178" t="s">
        <v>5</v>
      </c>
      <c r="CF102" s="178">
        <v>722.14</v>
      </c>
    </row>
    <row r="103" spans="1:84" ht="61.5" x14ac:dyDescent="0.85">
      <c r="A103" s="20">
        <v>1</v>
      </c>
      <c r="B103" s="66">
        <f>SUBTOTAL(103,$A$22:A103)</f>
        <v>82</v>
      </c>
      <c r="C103" s="24" t="s">
        <v>1160</v>
      </c>
      <c r="D103" s="31">
        <f t="shared" si="8"/>
        <v>5231607.8099999996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33">
        <v>0</v>
      </c>
      <c r="L103" s="31">
        <v>0</v>
      </c>
      <c r="M103" s="31">
        <v>1151.2</v>
      </c>
      <c r="N103" s="31">
        <v>5085703.68</v>
      </c>
      <c r="O103" s="31">
        <v>0</v>
      </c>
      <c r="P103" s="31">
        <v>0</v>
      </c>
      <c r="Q103" s="31">
        <v>0</v>
      </c>
      <c r="R103" s="31">
        <v>0</v>
      </c>
      <c r="S103" s="31">
        <v>0</v>
      </c>
      <c r="T103" s="31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75904.13</v>
      </c>
      <c r="AD103" s="31">
        <v>70000</v>
      </c>
      <c r="AE103" s="31">
        <v>0</v>
      </c>
      <c r="AF103" s="34">
        <v>2020</v>
      </c>
      <c r="AG103" s="34">
        <v>2020</v>
      </c>
      <c r="AH103" s="35">
        <v>2020</v>
      </c>
      <c r="BZ103" s="71"/>
      <c r="CD103" s="20" t="e">
        <f t="shared" si="9"/>
        <v>#N/A</v>
      </c>
      <c r="CE103" s="178" t="s">
        <v>1605</v>
      </c>
      <c r="CF103" s="178">
        <v>762.8</v>
      </c>
    </row>
    <row r="104" spans="1:84" ht="61.5" x14ac:dyDescent="0.85">
      <c r="A104" s="20">
        <v>1</v>
      </c>
      <c r="B104" s="66">
        <f>SUBTOTAL(103,$A$22:A104)</f>
        <v>83</v>
      </c>
      <c r="C104" s="24" t="s">
        <v>1163</v>
      </c>
      <c r="D104" s="31">
        <f t="shared" si="8"/>
        <v>2333046.9300000002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3">
        <v>0</v>
      </c>
      <c r="L104" s="31">
        <v>0</v>
      </c>
      <c r="M104" s="31">
        <v>0</v>
      </c>
      <c r="N104" s="31">
        <v>0</v>
      </c>
      <c r="O104" s="31">
        <v>0</v>
      </c>
      <c r="P104" s="31">
        <v>0</v>
      </c>
      <c r="Q104" s="31">
        <v>590</v>
      </c>
      <c r="R104" s="31">
        <v>2220900</v>
      </c>
      <c r="S104" s="31">
        <v>0</v>
      </c>
      <c r="T104" s="31">
        <v>0</v>
      </c>
      <c r="U104" s="31">
        <v>0</v>
      </c>
      <c r="V104" s="31">
        <v>0</v>
      </c>
      <c r="W104" s="31">
        <v>0</v>
      </c>
      <c r="X104" s="31">
        <v>0</v>
      </c>
      <c r="Y104" s="31">
        <v>0</v>
      </c>
      <c r="Z104" s="31">
        <v>0</v>
      </c>
      <c r="AA104" s="31">
        <v>0</v>
      </c>
      <c r="AB104" s="31">
        <v>0</v>
      </c>
      <c r="AC104" s="31">
        <v>33146.93</v>
      </c>
      <c r="AD104" s="31">
        <v>79000</v>
      </c>
      <c r="AE104" s="31">
        <v>0</v>
      </c>
      <c r="AF104" s="34">
        <v>2020</v>
      </c>
      <c r="AG104" s="34">
        <v>2020</v>
      </c>
      <c r="AH104" s="35">
        <v>2020</v>
      </c>
      <c r="BZ104" s="71"/>
      <c r="CD104" s="20" t="e">
        <f t="shared" si="9"/>
        <v>#N/A</v>
      </c>
      <c r="CE104" s="178" t="s">
        <v>116</v>
      </c>
      <c r="CF104" s="178">
        <v>1256.9000000000001</v>
      </c>
    </row>
    <row r="105" spans="1:84" ht="61.5" x14ac:dyDescent="0.85">
      <c r="A105" s="20">
        <v>1</v>
      </c>
      <c r="B105" s="66">
        <f>SUBTOTAL(103,$A$22:A105)</f>
        <v>84</v>
      </c>
      <c r="C105" s="24" t="s">
        <v>1164</v>
      </c>
      <c r="D105" s="31">
        <f t="shared" si="8"/>
        <v>2030984.36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3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450.1</v>
      </c>
      <c r="R105" s="31">
        <v>1942000.01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28984.35</v>
      </c>
      <c r="AD105" s="31">
        <v>60000</v>
      </c>
      <c r="AE105" s="31">
        <v>0</v>
      </c>
      <c r="AF105" s="34">
        <v>2020</v>
      </c>
      <c r="AG105" s="34">
        <v>2020</v>
      </c>
      <c r="AH105" s="35">
        <v>2020</v>
      </c>
      <c r="BZ105" s="71"/>
      <c r="CD105" s="20" t="e">
        <f t="shared" si="9"/>
        <v>#N/A</v>
      </c>
      <c r="CE105" s="178" t="s">
        <v>1253</v>
      </c>
      <c r="CF105" s="178">
        <v>1150.3</v>
      </c>
    </row>
    <row r="106" spans="1:84" ht="61.5" x14ac:dyDescent="0.85">
      <c r="A106" s="20">
        <v>1</v>
      </c>
      <c r="B106" s="66">
        <f>SUBTOTAL(103,$A$22:A106)</f>
        <v>85</v>
      </c>
      <c r="C106" s="24" t="s">
        <v>1596</v>
      </c>
      <c r="D106" s="31">
        <f t="shared" si="8"/>
        <v>1677475.96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3">
        <v>0</v>
      </c>
      <c r="L106" s="31">
        <v>0</v>
      </c>
      <c r="M106" s="31">
        <v>484</v>
      </c>
      <c r="N106" s="31">
        <v>1677475.96</v>
      </c>
      <c r="O106" s="31">
        <v>0</v>
      </c>
      <c r="P106" s="31">
        <v>0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v>0</v>
      </c>
      <c r="AD106" s="31">
        <v>0</v>
      </c>
      <c r="AE106" s="31">
        <v>0</v>
      </c>
      <c r="AF106" s="34" t="s">
        <v>274</v>
      </c>
      <c r="AG106" s="34">
        <v>2020</v>
      </c>
      <c r="AH106" s="35" t="s">
        <v>274</v>
      </c>
      <c r="BZ106" s="71"/>
      <c r="CD106" s="20">
        <f t="shared" si="9"/>
        <v>466.12</v>
      </c>
      <c r="CE106" s="178" t="s">
        <v>1254</v>
      </c>
      <c r="CF106" s="178">
        <v>763.8</v>
      </c>
    </row>
    <row r="107" spans="1:84" ht="61.5" x14ac:dyDescent="0.85">
      <c r="A107" s="20">
        <v>1</v>
      </c>
      <c r="B107" s="66">
        <f>SUBTOTAL(103,$A$22:A107)</f>
        <v>86</v>
      </c>
      <c r="C107" s="24" t="s">
        <v>1592</v>
      </c>
      <c r="D107" s="31">
        <f t="shared" si="8"/>
        <v>3647787.35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3">
        <v>0</v>
      </c>
      <c r="L107" s="31">
        <v>0</v>
      </c>
      <c r="M107" s="31">
        <v>900</v>
      </c>
      <c r="N107" s="31">
        <v>3593879.16</v>
      </c>
      <c r="O107" s="31">
        <v>0</v>
      </c>
      <c r="P107" s="31">
        <v>0</v>
      </c>
      <c r="Q107" s="31">
        <v>0</v>
      </c>
      <c r="R107" s="31">
        <v>0</v>
      </c>
      <c r="S107" s="31">
        <v>0</v>
      </c>
      <c r="T107" s="31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53908.19</v>
      </c>
      <c r="AD107" s="31">
        <v>0</v>
      </c>
      <c r="AE107" s="31">
        <v>0</v>
      </c>
      <c r="AF107" s="34" t="s">
        <v>274</v>
      </c>
      <c r="AG107" s="34">
        <v>2020</v>
      </c>
      <c r="AH107" s="35">
        <v>2020</v>
      </c>
      <c r="BZ107" s="71"/>
      <c r="CD107" s="20">
        <f t="shared" si="9"/>
        <v>859</v>
      </c>
      <c r="CE107" s="178" t="s">
        <v>1255</v>
      </c>
      <c r="CF107" s="178">
        <v>461.1</v>
      </c>
    </row>
    <row r="108" spans="1:84" ht="61.5" x14ac:dyDescent="0.85">
      <c r="A108" s="20">
        <v>1</v>
      </c>
      <c r="B108" s="66">
        <f>SUBTOTAL(103,$A$22:A108)</f>
        <v>87</v>
      </c>
      <c r="C108" s="24" t="s">
        <v>1595</v>
      </c>
      <c r="D108" s="31">
        <f t="shared" si="8"/>
        <v>5636811.5700000003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3">
        <v>0</v>
      </c>
      <c r="L108" s="31">
        <v>0</v>
      </c>
      <c r="M108" s="31">
        <v>1004.3</v>
      </c>
      <c r="N108" s="31">
        <v>5553919.3200000003</v>
      </c>
      <c r="O108" s="31">
        <v>0</v>
      </c>
      <c r="P108" s="31">
        <v>0</v>
      </c>
      <c r="Q108" s="31">
        <v>0</v>
      </c>
      <c r="R108" s="31">
        <v>0</v>
      </c>
      <c r="S108" s="31">
        <v>0</v>
      </c>
      <c r="T108" s="31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82892.25</v>
      </c>
      <c r="AD108" s="31">
        <v>0</v>
      </c>
      <c r="AE108" s="31">
        <v>0</v>
      </c>
      <c r="AF108" s="34" t="s">
        <v>274</v>
      </c>
      <c r="AG108" s="34">
        <v>2020</v>
      </c>
      <c r="AH108" s="35">
        <v>2020</v>
      </c>
      <c r="BZ108" s="71"/>
      <c r="CD108" s="20">
        <f t="shared" si="9"/>
        <v>1004.3</v>
      </c>
      <c r="CE108" s="178" t="s">
        <v>1257</v>
      </c>
      <c r="CF108" s="178">
        <v>1528.9</v>
      </c>
    </row>
    <row r="109" spans="1:84" ht="61.5" x14ac:dyDescent="0.85">
      <c r="A109" s="20">
        <v>1</v>
      </c>
      <c r="B109" s="66">
        <f>SUBTOTAL(103,$A$22:A109)</f>
        <v>88</v>
      </c>
      <c r="C109" s="24" t="s">
        <v>1591</v>
      </c>
      <c r="D109" s="31">
        <f t="shared" si="8"/>
        <v>3789473.9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3">
        <v>0</v>
      </c>
      <c r="L109" s="31">
        <v>0</v>
      </c>
      <c r="M109" s="31">
        <v>1057</v>
      </c>
      <c r="N109" s="31">
        <v>3733471.82</v>
      </c>
      <c r="O109" s="31">
        <v>0</v>
      </c>
      <c r="P109" s="31">
        <v>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56002.080000000002</v>
      </c>
      <c r="AD109" s="31">
        <v>0</v>
      </c>
      <c r="AE109" s="31">
        <v>0</v>
      </c>
      <c r="AF109" s="34" t="s">
        <v>274</v>
      </c>
      <c r="AG109" s="34">
        <v>2020</v>
      </c>
      <c r="AH109" s="35">
        <v>2020</v>
      </c>
      <c r="BZ109" s="71"/>
      <c r="CD109" s="20">
        <f t="shared" si="9"/>
        <v>1028.5</v>
      </c>
      <c r="CE109" s="178" t="s">
        <v>121</v>
      </c>
      <c r="CF109" s="178">
        <v>541.1</v>
      </c>
    </row>
    <row r="110" spans="1:84" ht="61.5" x14ac:dyDescent="0.85">
      <c r="A110" s="20">
        <v>1</v>
      </c>
      <c r="B110" s="66">
        <f>SUBTOTAL(103,$A$22:A110)</f>
        <v>89</v>
      </c>
      <c r="C110" s="24" t="s">
        <v>1581</v>
      </c>
      <c r="D110" s="31">
        <f t="shared" si="8"/>
        <v>597387.81000000006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3">
        <v>0</v>
      </c>
      <c r="L110" s="31">
        <v>0</v>
      </c>
      <c r="M110" s="31">
        <v>336</v>
      </c>
      <c r="N110" s="31">
        <v>588602.91</v>
      </c>
      <c r="O110" s="31">
        <v>0</v>
      </c>
      <c r="P110" s="31">
        <v>0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8784.9</v>
      </c>
      <c r="AD110" s="31">
        <v>0</v>
      </c>
      <c r="AE110" s="31">
        <v>0</v>
      </c>
      <c r="AF110" s="34" t="s">
        <v>274</v>
      </c>
      <c r="AG110" s="34">
        <v>2020</v>
      </c>
      <c r="AH110" s="35">
        <v>2020</v>
      </c>
      <c r="BZ110" s="71"/>
      <c r="CD110" s="20">
        <f t="shared" si="9"/>
        <v>334.8</v>
      </c>
      <c r="CE110" s="178" t="s">
        <v>174</v>
      </c>
      <c r="CF110" s="178">
        <v>678.3</v>
      </c>
    </row>
    <row r="111" spans="1:84" ht="61.5" x14ac:dyDescent="0.85">
      <c r="A111" s="20">
        <v>1</v>
      </c>
      <c r="B111" s="66">
        <f>SUBTOTAL(103,$A$22:A111)</f>
        <v>90</v>
      </c>
      <c r="C111" s="24" t="s">
        <v>1593</v>
      </c>
      <c r="D111" s="31">
        <f t="shared" si="8"/>
        <v>5103753.3499999996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3">
        <v>0</v>
      </c>
      <c r="L111" s="31">
        <v>0</v>
      </c>
      <c r="M111" s="31">
        <v>1500</v>
      </c>
      <c r="N111" s="31">
        <v>5028700</v>
      </c>
      <c r="O111" s="31">
        <v>0</v>
      </c>
      <c r="P111" s="31">
        <v>0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75053.350000000006</v>
      </c>
      <c r="AD111" s="31">
        <v>0</v>
      </c>
      <c r="AE111" s="31">
        <v>0</v>
      </c>
      <c r="AF111" s="34" t="s">
        <v>274</v>
      </c>
      <c r="AG111" s="34">
        <v>2020</v>
      </c>
      <c r="AH111" s="35">
        <v>2020</v>
      </c>
      <c r="BZ111" s="71"/>
      <c r="CD111" s="20">
        <f t="shared" si="9"/>
        <v>1585</v>
      </c>
      <c r="CE111" s="178" t="s">
        <v>1264</v>
      </c>
      <c r="CF111" s="178">
        <v>975.2</v>
      </c>
    </row>
    <row r="112" spans="1:84" ht="61.5" x14ac:dyDescent="0.85">
      <c r="A112" s="20">
        <v>1</v>
      </c>
      <c r="B112" s="66">
        <f>SUBTOTAL(103,$A$22:A112)</f>
        <v>91</v>
      </c>
      <c r="C112" s="24" t="s">
        <v>1594</v>
      </c>
      <c r="D112" s="31">
        <f t="shared" si="8"/>
        <v>6462765.0600000005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3">
        <v>0</v>
      </c>
      <c r="L112" s="31">
        <v>0</v>
      </c>
      <c r="M112" s="31">
        <v>1928</v>
      </c>
      <c r="N112" s="31">
        <v>6233451.8300000001</v>
      </c>
      <c r="O112" s="31">
        <v>0</v>
      </c>
      <c r="P112" s="31">
        <v>0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109313.23</v>
      </c>
      <c r="AD112" s="31">
        <v>120000</v>
      </c>
      <c r="AE112" s="31">
        <v>0</v>
      </c>
      <c r="AF112" s="34">
        <v>2020</v>
      </c>
      <c r="AG112" s="34">
        <v>2020</v>
      </c>
      <c r="AH112" s="35">
        <v>2020</v>
      </c>
      <c r="BZ112" s="71"/>
      <c r="CD112" s="20" t="e">
        <f t="shared" si="9"/>
        <v>#N/A</v>
      </c>
      <c r="CE112" s="178" t="s">
        <v>1265</v>
      </c>
      <c r="CF112" s="178">
        <v>600</v>
      </c>
    </row>
    <row r="113" spans="1:84" ht="61.5" x14ac:dyDescent="0.85">
      <c r="A113" s="20">
        <v>1</v>
      </c>
      <c r="B113" s="66">
        <f>SUBTOTAL(103,$A$22:A113)</f>
        <v>92</v>
      </c>
      <c r="C113" s="24" t="s">
        <v>1582</v>
      </c>
      <c r="D113" s="31">
        <f t="shared" si="8"/>
        <v>2093149.6</v>
      </c>
      <c r="E113" s="31">
        <v>0</v>
      </c>
      <c r="F113" s="31">
        <v>0</v>
      </c>
      <c r="G113" s="31">
        <v>0</v>
      </c>
      <c r="H113" s="31">
        <v>0</v>
      </c>
      <c r="I113" s="31">
        <v>0</v>
      </c>
      <c r="J113" s="31">
        <v>0</v>
      </c>
      <c r="K113" s="33">
        <v>0</v>
      </c>
      <c r="L113" s="31">
        <v>0</v>
      </c>
      <c r="M113" s="31">
        <v>385</v>
      </c>
      <c r="N113" s="31">
        <v>2093149.6</v>
      </c>
      <c r="O113" s="31">
        <v>0</v>
      </c>
      <c r="P113" s="31">
        <v>0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1">
        <v>0</v>
      </c>
      <c r="AF113" s="34" t="s">
        <v>274</v>
      </c>
      <c r="AG113" s="34">
        <v>2020</v>
      </c>
      <c r="AH113" s="35" t="s">
        <v>274</v>
      </c>
      <c r="BZ113" s="71"/>
      <c r="CD113" s="20">
        <f t="shared" si="9"/>
        <v>543.6</v>
      </c>
      <c r="CE113" s="178" t="s">
        <v>108</v>
      </c>
      <c r="CF113" s="178">
        <v>596.4</v>
      </c>
    </row>
    <row r="114" spans="1:84" ht="61.5" x14ac:dyDescent="0.85">
      <c r="A114" s="20">
        <v>1</v>
      </c>
      <c r="B114" s="66">
        <f>SUBTOTAL(103,$A$22:A114)</f>
        <v>93</v>
      </c>
      <c r="C114" s="24" t="s">
        <v>1636</v>
      </c>
      <c r="D114" s="31">
        <f t="shared" si="8"/>
        <v>2139777.0500000003</v>
      </c>
      <c r="E114" s="31">
        <v>0</v>
      </c>
      <c r="F114" s="31">
        <v>0</v>
      </c>
      <c r="G114" s="31">
        <v>0</v>
      </c>
      <c r="H114" s="31">
        <v>0</v>
      </c>
      <c r="I114" s="31">
        <v>0</v>
      </c>
      <c r="J114" s="31">
        <v>0</v>
      </c>
      <c r="K114" s="33">
        <v>0</v>
      </c>
      <c r="L114" s="31">
        <v>0</v>
      </c>
      <c r="M114" s="31">
        <v>356</v>
      </c>
      <c r="N114" s="31">
        <v>2033939.08</v>
      </c>
      <c r="O114" s="31">
        <v>0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1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v>30509.09</v>
      </c>
      <c r="AD114" s="31">
        <v>75328.88</v>
      </c>
      <c r="AE114" s="31">
        <v>0</v>
      </c>
      <c r="AF114" s="34">
        <v>2020</v>
      </c>
      <c r="AG114" s="34">
        <v>2020</v>
      </c>
      <c r="AH114" s="35">
        <v>2020</v>
      </c>
      <c r="BZ114" s="71"/>
      <c r="CD114" s="20" t="e">
        <f t="shared" si="9"/>
        <v>#N/A</v>
      </c>
      <c r="CE114" s="178" t="s">
        <v>110</v>
      </c>
      <c r="CF114" s="178">
        <v>936.1</v>
      </c>
    </row>
    <row r="115" spans="1:84" ht="61.5" x14ac:dyDescent="0.85">
      <c r="A115" s="20">
        <v>1</v>
      </c>
      <c r="B115" s="66">
        <f>SUBTOTAL(103,$A$22:A115)</f>
        <v>94</v>
      </c>
      <c r="C115" s="24" t="s">
        <v>1638</v>
      </c>
      <c r="D115" s="31">
        <f t="shared" si="8"/>
        <v>4640895.0699999994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3">
        <v>0</v>
      </c>
      <c r="L115" s="31">
        <v>0</v>
      </c>
      <c r="M115" s="31">
        <v>1119</v>
      </c>
      <c r="N115" s="31">
        <v>4475542.5999999996</v>
      </c>
      <c r="O115" s="31">
        <v>0</v>
      </c>
      <c r="P115" s="31">
        <v>0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0</v>
      </c>
      <c r="AC115" s="31">
        <v>67133.14</v>
      </c>
      <c r="AD115" s="31">
        <v>98219.33</v>
      </c>
      <c r="AE115" s="31">
        <v>0</v>
      </c>
      <c r="AF115" s="34">
        <v>2020</v>
      </c>
      <c r="AG115" s="34">
        <v>2020</v>
      </c>
      <c r="AH115" s="35">
        <v>2020</v>
      </c>
      <c r="BZ115" s="71"/>
      <c r="CD115" s="20" t="e">
        <f t="shared" si="9"/>
        <v>#N/A</v>
      </c>
      <c r="CE115" s="178" t="s">
        <v>1268</v>
      </c>
      <c r="CF115" s="178">
        <v>901.42</v>
      </c>
    </row>
    <row r="116" spans="1:84" ht="61.5" x14ac:dyDescent="0.85">
      <c r="A116" s="20">
        <v>1</v>
      </c>
      <c r="B116" s="66">
        <f>SUBTOTAL(103,$A$22:A116)</f>
        <v>95</v>
      </c>
      <c r="C116" s="24" t="s">
        <v>1639</v>
      </c>
      <c r="D116" s="31">
        <f t="shared" si="8"/>
        <v>3059671.4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3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>
        <v>975.92</v>
      </c>
      <c r="R116" s="31">
        <v>3014454.58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45216.82</v>
      </c>
      <c r="AD116" s="31">
        <v>0</v>
      </c>
      <c r="AE116" s="31">
        <v>0</v>
      </c>
      <c r="AF116" s="34" t="s">
        <v>274</v>
      </c>
      <c r="AG116" s="34">
        <v>2020</v>
      </c>
      <c r="AH116" s="35">
        <v>2020</v>
      </c>
      <c r="BZ116" s="71"/>
      <c r="CD116" s="20" t="e">
        <f t="shared" si="9"/>
        <v>#N/A</v>
      </c>
      <c r="CE116" s="178" t="s">
        <v>44</v>
      </c>
      <c r="CF116" s="178">
        <v>631</v>
      </c>
    </row>
    <row r="117" spans="1:84" ht="61.5" x14ac:dyDescent="0.85">
      <c r="A117" s="20">
        <v>1</v>
      </c>
      <c r="B117" s="66">
        <f>SUBTOTAL(103,$A$22:A117)</f>
        <v>96</v>
      </c>
      <c r="C117" s="24" t="s">
        <v>1640</v>
      </c>
      <c r="D117" s="31">
        <f t="shared" si="8"/>
        <v>3080924.7199999997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3">
        <v>0</v>
      </c>
      <c r="L117" s="31">
        <v>0</v>
      </c>
      <c r="M117" s="31">
        <v>707</v>
      </c>
      <c r="N117" s="31">
        <v>2956650.15</v>
      </c>
      <c r="O117" s="31">
        <v>0</v>
      </c>
      <c r="P117" s="31">
        <v>0</v>
      </c>
      <c r="Q117" s="31">
        <v>0</v>
      </c>
      <c r="R117" s="31">
        <v>0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1">
        <v>0</v>
      </c>
      <c r="Y117" s="31">
        <v>0</v>
      </c>
      <c r="Z117" s="31">
        <v>0</v>
      </c>
      <c r="AA117" s="31">
        <v>0</v>
      </c>
      <c r="AB117" s="31">
        <v>0</v>
      </c>
      <c r="AC117" s="31">
        <v>44349.75</v>
      </c>
      <c r="AD117" s="31">
        <v>79924.820000000007</v>
      </c>
      <c r="AE117" s="31">
        <v>0</v>
      </c>
      <c r="AF117" s="34">
        <v>2020</v>
      </c>
      <c r="AG117" s="34">
        <v>2020</v>
      </c>
      <c r="AH117" s="35">
        <v>2020</v>
      </c>
      <c r="BZ117" s="71"/>
      <c r="CD117" s="20" t="e">
        <f t="shared" si="9"/>
        <v>#N/A</v>
      </c>
      <c r="CE117" s="178" t="s">
        <v>43</v>
      </c>
      <c r="CF117" s="178">
        <v>566</v>
      </c>
    </row>
    <row r="118" spans="1:84" ht="61.5" x14ac:dyDescent="0.85">
      <c r="A118" s="20">
        <v>1</v>
      </c>
      <c r="B118" s="66">
        <f>SUBTOTAL(103,$A$22:A118)</f>
        <v>97</v>
      </c>
      <c r="C118" s="24" t="s">
        <v>1641</v>
      </c>
      <c r="D118" s="31">
        <f t="shared" si="8"/>
        <v>3180464.5600000005</v>
      </c>
      <c r="E118" s="31">
        <v>0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3">
        <v>0</v>
      </c>
      <c r="L118" s="31">
        <v>0</v>
      </c>
      <c r="M118" s="31">
        <v>0</v>
      </c>
      <c r="N118" s="31">
        <v>0</v>
      </c>
      <c r="O118" s="31">
        <v>0</v>
      </c>
      <c r="P118" s="31">
        <v>0</v>
      </c>
      <c r="Q118" s="31">
        <v>641</v>
      </c>
      <c r="R118" s="31">
        <v>3054645.18</v>
      </c>
      <c r="S118" s="31"/>
      <c r="T118" s="31">
        <v>0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0</v>
      </c>
      <c r="AC118" s="31">
        <v>45819.68</v>
      </c>
      <c r="AD118" s="31">
        <v>79999.7</v>
      </c>
      <c r="AE118" s="31">
        <v>0</v>
      </c>
      <c r="AF118" s="34">
        <v>2020</v>
      </c>
      <c r="AG118" s="34">
        <v>2020</v>
      </c>
      <c r="AH118" s="35">
        <v>2020</v>
      </c>
      <c r="BZ118" s="71"/>
      <c r="CD118" s="20" t="e">
        <f t="shared" si="9"/>
        <v>#N/A</v>
      </c>
      <c r="CE118" s="178" t="s">
        <v>45</v>
      </c>
      <c r="CF118" s="178">
        <v>562</v>
      </c>
    </row>
    <row r="119" spans="1:84" ht="61.5" x14ac:dyDescent="0.85">
      <c r="A119" s="20">
        <v>1</v>
      </c>
      <c r="B119" s="66">
        <f>SUBTOTAL(103,$A$22:A119)</f>
        <v>98</v>
      </c>
      <c r="C119" s="24" t="s">
        <v>1663</v>
      </c>
      <c r="D119" s="31">
        <f t="shared" si="8"/>
        <v>2491059.7799999998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3">
        <v>0</v>
      </c>
      <c r="L119" s="31">
        <v>0</v>
      </c>
      <c r="M119" s="31">
        <v>502</v>
      </c>
      <c r="N119" s="31">
        <v>2404985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36074.78</v>
      </c>
      <c r="AD119" s="31">
        <v>50000</v>
      </c>
      <c r="AE119" s="31">
        <v>0</v>
      </c>
      <c r="AF119" s="34">
        <v>2020</v>
      </c>
      <c r="AG119" s="34">
        <v>2020</v>
      </c>
      <c r="AH119" s="35">
        <v>2020</v>
      </c>
      <c r="BZ119" s="71"/>
      <c r="CD119" s="20" t="e">
        <f t="shared" si="9"/>
        <v>#N/A</v>
      </c>
      <c r="CE119" s="178" t="s">
        <v>1281</v>
      </c>
      <c r="CF119" s="178">
        <v>454</v>
      </c>
    </row>
    <row r="120" spans="1:84" ht="61.5" x14ac:dyDescent="0.85">
      <c r="A120" s="20">
        <v>1</v>
      </c>
      <c r="B120" s="66">
        <f>SUBTOTAL(103,$A$22:A120)</f>
        <v>99</v>
      </c>
      <c r="C120" s="24" t="s">
        <v>1664</v>
      </c>
      <c r="D120" s="31">
        <f t="shared" si="8"/>
        <v>2792067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3">
        <v>1</v>
      </c>
      <c r="L120" s="31">
        <v>2692067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100000</v>
      </c>
      <c r="AE120" s="31">
        <v>0</v>
      </c>
      <c r="AF120" s="34">
        <v>2020</v>
      </c>
      <c r="AG120" s="34">
        <v>2020</v>
      </c>
      <c r="AH120" s="35" t="s">
        <v>274</v>
      </c>
      <c r="BZ120" s="71"/>
      <c r="CD120" s="20" t="e">
        <f t="shared" si="9"/>
        <v>#N/A</v>
      </c>
      <c r="CE120" s="178" t="s">
        <v>42</v>
      </c>
      <c r="CF120" s="178">
        <v>595</v>
      </c>
    </row>
    <row r="121" spans="1:84" ht="61.5" x14ac:dyDescent="0.85">
      <c r="A121" s="20">
        <v>1</v>
      </c>
      <c r="B121" s="66">
        <f>SUBTOTAL(103,$A$22:A121)</f>
        <v>100</v>
      </c>
      <c r="C121" s="24" t="s">
        <v>1665</v>
      </c>
      <c r="D121" s="31">
        <f t="shared" si="8"/>
        <v>2871356.72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3">
        <v>0</v>
      </c>
      <c r="L121" s="31">
        <v>0</v>
      </c>
      <c r="M121" s="31">
        <v>665</v>
      </c>
      <c r="N121" s="31">
        <v>2755031.25</v>
      </c>
      <c r="O121" s="31">
        <v>0</v>
      </c>
      <c r="P121" s="31">
        <v>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41325.47</v>
      </c>
      <c r="AD121" s="31">
        <v>75000</v>
      </c>
      <c r="AE121" s="31">
        <v>0</v>
      </c>
      <c r="AF121" s="34">
        <v>2020</v>
      </c>
      <c r="AG121" s="34">
        <v>2020</v>
      </c>
      <c r="AH121" s="35">
        <v>2020</v>
      </c>
      <c r="BZ121" s="71"/>
      <c r="CD121" s="20" t="e">
        <f t="shared" si="9"/>
        <v>#N/A</v>
      </c>
      <c r="CE121" s="178" t="s">
        <v>1604</v>
      </c>
      <c r="CF121" s="178">
        <v>747.3</v>
      </c>
    </row>
    <row r="122" spans="1:84" ht="61.5" x14ac:dyDescent="0.85">
      <c r="B122" s="24" t="s">
        <v>781</v>
      </c>
      <c r="C122" s="166"/>
      <c r="D122" s="31">
        <f>SUM(D123:D154)</f>
        <v>90231479.819999963</v>
      </c>
      <c r="E122" s="31">
        <f t="shared" ref="E122:AE122" si="10">SUM(E123:E154)</f>
        <v>486686.75</v>
      </c>
      <c r="F122" s="31">
        <f t="shared" si="10"/>
        <v>347232.06</v>
      </c>
      <c r="G122" s="31">
        <f t="shared" si="10"/>
        <v>8460617.75</v>
      </c>
      <c r="H122" s="31">
        <f t="shared" si="10"/>
        <v>1113347.96</v>
      </c>
      <c r="I122" s="31">
        <f t="shared" si="10"/>
        <v>7564826.6400000006</v>
      </c>
      <c r="J122" s="31">
        <f t="shared" si="10"/>
        <v>0</v>
      </c>
      <c r="K122" s="33">
        <f t="shared" si="10"/>
        <v>4</v>
      </c>
      <c r="L122" s="31">
        <f t="shared" si="10"/>
        <v>5593558.4000000004</v>
      </c>
      <c r="M122" s="31">
        <f t="shared" si="10"/>
        <v>9392.19</v>
      </c>
      <c r="N122" s="31">
        <f t="shared" si="10"/>
        <v>45453156.740000002</v>
      </c>
      <c r="O122" s="31">
        <f t="shared" si="10"/>
        <v>0</v>
      </c>
      <c r="P122" s="31">
        <f t="shared" si="10"/>
        <v>0</v>
      </c>
      <c r="Q122" s="31">
        <f t="shared" si="10"/>
        <v>5678.53</v>
      </c>
      <c r="R122" s="31">
        <f t="shared" si="10"/>
        <v>18388141.52</v>
      </c>
      <c r="S122" s="31">
        <f t="shared" si="10"/>
        <v>0</v>
      </c>
      <c r="T122" s="31">
        <f t="shared" si="10"/>
        <v>0</v>
      </c>
      <c r="U122" s="31">
        <f t="shared" si="10"/>
        <v>0</v>
      </c>
      <c r="V122" s="31">
        <f t="shared" si="10"/>
        <v>0</v>
      </c>
      <c r="W122" s="31">
        <f t="shared" si="10"/>
        <v>0</v>
      </c>
      <c r="X122" s="31">
        <f t="shared" si="10"/>
        <v>0</v>
      </c>
      <c r="Y122" s="31">
        <f t="shared" si="10"/>
        <v>0</v>
      </c>
      <c r="Z122" s="31">
        <f t="shared" si="10"/>
        <v>0</v>
      </c>
      <c r="AA122" s="31">
        <f t="shared" si="10"/>
        <v>0</v>
      </c>
      <c r="AB122" s="31">
        <f t="shared" si="10"/>
        <v>0</v>
      </c>
      <c r="AC122" s="31">
        <f t="shared" si="10"/>
        <v>1227210.1400000001</v>
      </c>
      <c r="AD122" s="31">
        <f t="shared" si="10"/>
        <v>1476701.86</v>
      </c>
      <c r="AE122" s="31">
        <f t="shared" si="10"/>
        <v>120000</v>
      </c>
      <c r="AF122" s="72" t="s">
        <v>776</v>
      </c>
      <c r="AG122" s="72" t="s">
        <v>776</v>
      </c>
      <c r="AH122" s="89" t="s">
        <v>776</v>
      </c>
      <c r="AT122" s="20" t="e">
        <f t="shared" ref="AT122:AT135" si="11">VLOOKUP(C122,AW:AX,2,FALSE)</f>
        <v>#N/A</v>
      </c>
      <c r="BZ122" s="31">
        <v>95682574.419999987</v>
      </c>
      <c r="CA122" s="31"/>
      <c r="CB122" s="31">
        <f>BZ122-D122</f>
        <v>5451094.6000000238</v>
      </c>
      <c r="CD122" s="20" t="e">
        <f t="shared" si="9"/>
        <v>#N/A</v>
      </c>
      <c r="CE122" s="178" t="s">
        <v>1276</v>
      </c>
      <c r="CF122" s="178">
        <v>1278.8</v>
      </c>
    </row>
    <row r="123" spans="1:84" ht="61.5" x14ac:dyDescent="0.85">
      <c r="A123" s="20">
        <v>1</v>
      </c>
      <c r="B123" s="66">
        <f>SUBTOTAL(103,$A$22:A123)</f>
        <v>101</v>
      </c>
      <c r="C123" s="24" t="s">
        <v>453</v>
      </c>
      <c r="D123" s="31">
        <f t="shared" ref="D123:D154" si="12">E123+F123+G123+H123+I123+J123+L123+N123+P123+R123+T123+U123+V123+W123+X123+Y123+Z123+AA123+AB123+AC123+AD123+AE123</f>
        <v>3009959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3">
        <v>0</v>
      </c>
      <c r="L123" s="31">
        <v>0</v>
      </c>
      <c r="M123" s="31">
        <v>598</v>
      </c>
      <c r="N123" s="31">
        <v>2924188.81</v>
      </c>
      <c r="O123" s="31">
        <v>0</v>
      </c>
      <c r="P123" s="31">
        <v>0</v>
      </c>
      <c r="Q123" s="31">
        <v>0</v>
      </c>
      <c r="R123" s="31">
        <v>0</v>
      </c>
      <c r="S123" s="31">
        <v>0</v>
      </c>
      <c r="T123" s="31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f t="shared" ref="AC123:AC134" si="13">ROUND(N123*1.5%,2)</f>
        <v>43862.83</v>
      </c>
      <c r="AD123" s="31">
        <v>41907.360000000001</v>
      </c>
      <c r="AE123" s="31">
        <v>0</v>
      </c>
      <c r="AF123" s="34">
        <v>2020</v>
      </c>
      <c r="AG123" s="34">
        <v>2020</v>
      </c>
      <c r="AH123" s="35">
        <v>2020</v>
      </c>
      <c r="AT123" s="20" t="e">
        <f t="shared" si="11"/>
        <v>#N/A</v>
      </c>
      <c r="BZ123" s="71"/>
      <c r="CD123" s="20">
        <f t="shared" si="9"/>
        <v>598</v>
      </c>
      <c r="CE123" s="178" t="s">
        <v>1278</v>
      </c>
      <c r="CF123" s="178">
        <v>225.04</v>
      </c>
    </row>
    <row r="124" spans="1:84" ht="61.5" x14ac:dyDescent="0.85">
      <c r="A124" s="20">
        <v>1</v>
      </c>
      <c r="B124" s="66">
        <f>SUBTOTAL(103,$A$22:A124)</f>
        <v>102</v>
      </c>
      <c r="C124" s="24" t="s">
        <v>454</v>
      </c>
      <c r="D124" s="31">
        <f t="shared" si="12"/>
        <v>3099944.98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3">
        <v>0</v>
      </c>
      <c r="L124" s="31">
        <v>0</v>
      </c>
      <c r="M124" s="31">
        <v>592.20000000000005</v>
      </c>
      <c r="N124" s="31">
        <v>2990544.46</v>
      </c>
      <c r="O124" s="31">
        <v>0</v>
      </c>
      <c r="P124" s="31">
        <v>0</v>
      </c>
      <c r="Q124" s="31">
        <v>0</v>
      </c>
      <c r="R124" s="31">
        <v>0</v>
      </c>
      <c r="S124" s="31">
        <v>0</v>
      </c>
      <c r="T124" s="31">
        <v>0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f t="shared" si="13"/>
        <v>44858.17</v>
      </c>
      <c r="AD124" s="31">
        <v>64542.35</v>
      </c>
      <c r="AE124" s="31">
        <v>0</v>
      </c>
      <c r="AF124" s="34">
        <v>2020</v>
      </c>
      <c r="AG124" s="34">
        <v>2020</v>
      </c>
      <c r="AH124" s="35">
        <v>2020</v>
      </c>
      <c r="AT124" s="20" t="e">
        <f t="shared" si="11"/>
        <v>#N/A</v>
      </c>
      <c r="BZ124" s="71"/>
      <c r="CD124" s="20">
        <f t="shared" si="9"/>
        <v>592.20000000000005</v>
      </c>
      <c r="CE124" s="178" t="s">
        <v>1279</v>
      </c>
      <c r="CF124" s="178">
        <v>337</v>
      </c>
    </row>
    <row r="125" spans="1:84" ht="61.5" x14ac:dyDescent="0.85">
      <c r="A125" s="20">
        <v>1</v>
      </c>
      <c r="B125" s="66">
        <f>SUBTOTAL(103,$A$22:A125)</f>
        <v>103</v>
      </c>
      <c r="C125" s="24" t="s">
        <v>455</v>
      </c>
      <c r="D125" s="31">
        <f t="shared" si="12"/>
        <v>59874.84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3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f t="shared" si="13"/>
        <v>0</v>
      </c>
      <c r="AD125" s="31">
        <v>59874.84</v>
      </c>
      <c r="AE125" s="31">
        <v>0</v>
      </c>
      <c r="AF125" s="34">
        <v>2020</v>
      </c>
      <c r="AG125" s="34" t="s">
        <v>274</v>
      </c>
      <c r="AH125" s="35" t="s">
        <v>274</v>
      </c>
      <c r="AT125" s="20" t="e">
        <f t="shared" si="11"/>
        <v>#N/A</v>
      </c>
      <c r="BZ125" s="71"/>
      <c r="CD125" s="20" t="e">
        <f t="shared" si="9"/>
        <v>#N/A</v>
      </c>
      <c r="CE125" s="178" t="s">
        <v>232</v>
      </c>
      <c r="CF125" s="178">
        <v>806.38</v>
      </c>
    </row>
    <row r="126" spans="1:84" ht="61.5" x14ac:dyDescent="0.85">
      <c r="A126" s="20">
        <v>1</v>
      </c>
      <c r="B126" s="66">
        <f>SUBTOTAL(103,$A$22:A126)</f>
        <v>104</v>
      </c>
      <c r="C126" s="24" t="s">
        <v>456</v>
      </c>
      <c r="D126" s="31">
        <f t="shared" si="12"/>
        <v>66096.710000000006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3">
        <v>0</v>
      </c>
      <c r="L126" s="31">
        <v>0</v>
      </c>
      <c r="M126" s="31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0</v>
      </c>
      <c r="T126" s="31">
        <v>0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f t="shared" si="13"/>
        <v>0</v>
      </c>
      <c r="AD126" s="31">
        <v>66096.710000000006</v>
      </c>
      <c r="AE126" s="31">
        <v>0</v>
      </c>
      <c r="AF126" s="34">
        <v>2020</v>
      </c>
      <c r="AG126" s="34" t="s">
        <v>274</v>
      </c>
      <c r="AH126" s="35" t="s">
        <v>274</v>
      </c>
      <c r="AT126" s="20" t="e">
        <f t="shared" si="11"/>
        <v>#N/A</v>
      </c>
      <c r="BZ126" s="71"/>
      <c r="CD126" s="20" t="e">
        <f t="shared" si="9"/>
        <v>#N/A</v>
      </c>
      <c r="CE126" s="178" t="s">
        <v>235</v>
      </c>
      <c r="CF126" s="178">
        <v>308.60000000000002</v>
      </c>
    </row>
    <row r="127" spans="1:84" ht="61.5" x14ac:dyDescent="0.85">
      <c r="A127" s="20">
        <v>1</v>
      </c>
      <c r="B127" s="66">
        <f>SUBTOTAL(103,$A$22:A127)</f>
        <v>105</v>
      </c>
      <c r="C127" s="24" t="s">
        <v>457</v>
      </c>
      <c r="D127" s="31">
        <f t="shared" si="12"/>
        <v>2958496.97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3">
        <v>0</v>
      </c>
      <c r="L127" s="31">
        <v>0</v>
      </c>
      <c r="M127" s="31">
        <v>603.71</v>
      </c>
      <c r="N127" s="31">
        <v>2852841.65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31">
        <v>0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f t="shared" si="13"/>
        <v>42792.62</v>
      </c>
      <c r="AD127" s="31">
        <v>62862.7</v>
      </c>
      <c r="AE127" s="31">
        <v>0</v>
      </c>
      <c r="AF127" s="34">
        <v>2020</v>
      </c>
      <c r="AG127" s="34">
        <v>2020</v>
      </c>
      <c r="AH127" s="35">
        <v>2020</v>
      </c>
      <c r="AT127" s="20" t="e">
        <f t="shared" si="11"/>
        <v>#N/A</v>
      </c>
      <c r="BZ127" s="71"/>
      <c r="CD127" s="20">
        <f t="shared" si="9"/>
        <v>603.71</v>
      </c>
      <c r="CE127" s="178" t="s">
        <v>1293</v>
      </c>
      <c r="CF127" s="178">
        <v>189.8</v>
      </c>
    </row>
    <row r="128" spans="1:84" ht="61.5" x14ac:dyDescent="0.85">
      <c r="A128" s="20">
        <v>1</v>
      </c>
      <c r="B128" s="66">
        <f>SUBTOTAL(103,$A$22:A128)</f>
        <v>106</v>
      </c>
      <c r="C128" s="24" t="s">
        <v>458</v>
      </c>
      <c r="D128" s="31">
        <f t="shared" si="12"/>
        <v>2357467.23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3">
        <v>0</v>
      </c>
      <c r="L128" s="31">
        <v>0</v>
      </c>
      <c r="M128" s="31">
        <v>588.4</v>
      </c>
      <c r="N128" s="31">
        <v>2259637.87</v>
      </c>
      <c r="O128" s="31">
        <v>0</v>
      </c>
      <c r="P128" s="31">
        <v>0</v>
      </c>
      <c r="Q128" s="31">
        <v>0</v>
      </c>
      <c r="R128" s="31">
        <v>0</v>
      </c>
      <c r="S128" s="31">
        <v>0</v>
      </c>
      <c r="T128" s="31">
        <v>0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f t="shared" si="13"/>
        <v>33894.57</v>
      </c>
      <c r="AD128" s="31">
        <v>63934.79</v>
      </c>
      <c r="AE128" s="31">
        <v>0</v>
      </c>
      <c r="AF128" s="34">
        <v>2020</v>
      </c>
      <c r="AG128" s="34">
        <v>2020</v>
      </c>
      <c r="AH128" s="35">
        <v>2020</v>
      </c>
      <c r="AT128" s="20" t="e">
        <f t="shared" si="11"/>
        <v>#N/A</v>
      </c>
      <c r="BZ128" s="71"/>
      <c r="CD128" s="20">
        <f t="shared" si="9"/>
        <v>588.4</v>
      </c>
      <c r="CE128" s="178" t="s">
        <v>147</v>
      </c>
      <c r="CF128" s="178">
        <v>1525.2</v>
      </c>
    </row>
    <row r="129" spans="1:84" ht="61.5" x14ac:dyDescent="0.85">
      <c r="A129" s="20">
        <v>1</v>
      </c>
      <c r="B129" s="66">
        <f>SUBTOTAL(103,$A$22:A129)</f>
        <v>107</v>
      </c>
      <c r="C129" s="24" t="s">
        <v>459</v>
      </c>
      <c r="D129" s="31">
        <f t="shared" si="12"/>
        <v>3254641.7199999997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3">
        <v>0</v>
      </c>
      <c r="L129" s="31">
        <v>0</v>
      </c>
      <c r="M129" s="31">
        <v>555.39</v>
      </c>
      <c r="N129" s="31">
        <v>3123050.84</v>
      </c>
      <c r="O129" s="31">
        <v>0</v>
      </c>
      <c r="P129" s="31">
        <v>0</v>
      </c>
      <c r="Q129" s="31">
        <v>0</v>
      </c>
      <c r="R129" s="31">
        <v>0</v>
      </c>
      <c r="S129" s="31">
        <v>0</v>
      </c>
      <c r="T129" s="31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1">
        <f t="shared" si="13"/>
        <v>46845.760000000002</v>
      </c>
      <c r="AD129" s="31">
        <v>84745.12</v>
      </c>
      <c r="AE129" s="31">
        <v>0</v>
      </c>
      <c r="AF129" s="34">
        <v>2020</v>
      </c>
      <c r="AG129" s="34">
        <v>2020</v>
      </c>
      <c r="AH129" s="35">
        <v>2020</v>
      </c>
      <c r="AT129" s="20" t="e">
        <f t="shared" si="11"/>
        <v>#N/A</v>
      </c>
      <c r="BZ129" s="71"/>
      <c r="CD129" s="20">
        <f t="shared" si="9"/>
        <v>555.39</v>
      </c>
      <c r="CE129" s="178" t="s">
        <v>143</v>
      </c>
      <c r="CF129" s="178">
        <v>1373.6</v>
      </c>
    </row>
    <row r="130" spans="1:84" ht="61.5" x14ac:dyDescent="0.85">
      <c r="A130" s="20">
        <v>1</v>
      </c>
      <c r="B130" s="66">
        <f>SUBTOTAL(103,$A$22:A130)</f>
        <v>108</v>
      </c>
      <c r="C130" s="24" t="s">
        <v>460</v>
      </c>
      <c r="D130" s="31">
        <f t="shared" si="12"/>
        <v>2742180.7199999997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3">
        <v>0</v>
      </c>
      <c r="L130" s="31">
        <v>0</v>
      </c>
      <c r="M130" s="31">
        <v>577</v>
      </c>
      <c r="N130" s="31">
        <v>2638768.2999999998</v>
      </c>
      <c r="O130" s="31">
        <v>0</v>
      </c>
      <c r="P130" s="31">
        <v>0</v>
      </c>
      <c r="Q130" s="31">
        <v>0</v>
      </c>
      <c r="R130" s="31">
        <v>0</v>
      </c>
      <c r="S130" s="31">
        <v>0</v>
      </c>
      <c r="T130" s="31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0</v>
      </c>
      <c r="AC130" s="31">
        <f t="shared" si="13"/>
        <v>39581.519999999997</v>
      </c>
      <c r="AD130" s="31">
        <v>63830.9</v>
      </c>
      <c r="AE130" s="31">
        <v>0</v>
      </c>
      <c r="AF130" s="34">
        <v>2020</v>
      </c>
      <c r="AG130" s="34">
        <v>2020</v>
      </c>
      <c r="AH130" s="35">
        <v>2020</v>
      </c>
      <c r="AT130" s="20" t="e">
        <f t="shared" si="11"/>
        <v>#N/A</v>
      </c>
      <c r="BZ130" s="71"/>
      <c r="CD130" s="20">
        <f t="shared" si="9"/>
        <v>577</v>
      </c>
      <c r="CE130" s="178" t="s">
        <v>138</v>
      </c>
      <c r="CF130" s="178">
        <v>1062.4000000000001</v>
      </c>
    </row>
    <row r="131" spans="1:84" ht="61.5" x14ac:dyDescent="0.85">
      <c r="A131" s="20">
        <v>1</v>
      </c>
      <c r="B131" s="66">
        <f>SUBTOTAL(103,$A$22:A131)</f>
        <v>109</v>
      </c>
      <c r="C131" s="24" t="s">
        <v>461</v>
      </c>
      <c r="D131" s="31">
        <f t="shared" si="12"/>
        <v>2974792.63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3">
        <v>0</v>
      </c>
      <c r="L131" s="31">
        <v>0</v>
      </c>
      <c r="M131" s="31">
        <v>567.62</v>
      </c>
      <c r="N131" s="31">
        <v>2867805</v>
      </c>
      <c r="O131" s="31">
        <v>0</v>
      </c>
      <c r="P131" s="31">
        <v>0</v>
      </c>
      <c r="Q131" s="31">
        <v>0</v>
      </c>
      <c r="R131" s="31">
        <v>0</v>
      </c>
      <c r="S131" s="31">
        <v>0</v>
      </c>
      <c r="T131" s="31">
        <v>0</v>
      </c>
      <c r="U131" s="31">
        <v>0</v>
      </c>
      <c r="V131" s="31">
        <v>0</v>
      </c>
      <c r="W131" s="31">
        <v>0</v>
      </c>
      <c r="X131" s="31">
        <v>0</v>
      </c>
      <c r="Y131" s="31">
        <v>0</v>
      </c>
      <c r="Z131" s="31">
        <v>0</v>
      </c>
      <c r="AA131" s="31">
        <v>0</v>
      </c>
      <c r="AB131" s="31">
        <v>0</v>
      </c>
      <c r="AC131" s="31">
        <f t="shared" si="13"/>
        <v>43017.08</v>
      </c>
      <c r="AD131" s="31">
        <v>63970.55</v>
      </c>
      <c r="AE131" s="31">
        <v>0</v>
      </c>
      <c r="AF131" s="34">
        <v>2020</v>
      </c>
      <c r="AG131" s="34">
        <v>2020</v>
      </c>
      <c r="AH131" s="35">
        <v>2020</v>
      </c>
      <c r="AT131" s="20" t="e">
        <f t="shared" si="11"/>
        <v>#N/A</v>
      </c>
      <c r="BZ131" s="71"/>
      <c r="CD131" s="20">
        <f t="shared" si="9"/>
        <v>567.62</v>
      </c>
      <c r="CE131" s="178" t="s">
        <v>1289</v>
      </c>
      <c r="CF131" s="178">
        <v>1105</v>
      </c>
    </row>
    <row r="132" spans="1:84" ht="61.5" x14ac:dyDescent="0.85">
      <c r="A132" s="20">
        <v>1</v>
      </c>
      <c r="B132" s="66">
        <f>SUBTOTAL(103,$A$22:A132)</f>
        <v>110</v>
      </c>
      <c r="C132" s="24" t="s">
        <v>462</v>
      </c>
      <c r="D132" s="31">
        <f t="shared" si="12"/>
        <v>4857461.72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3">
        <v>0</v>
      </c>
      <c r="L132" s="31">
        <v>0</v>
      </c>
      <c r="M132" s="31">
        <v>865.12</v>
      </c>
      <c r="N132" s="31">
        <v>4643701.7699999996</v>
      </c>
      <c r="O132" s="31">
        <v>0</v>
      </c>
      <c r="P132" s="31">
        <v>0</v>
      </c>
      <c r="Q132" s="31">
        <v>0</v>
      </c>
      <c r="R132" s="31">
        <v>0</v>
      </c>
      <c r="S132" s="31">
        <v>0</v>
      </c>
      <c r="T132" s="31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f t="shared" si="13"/>
        <v>69655.53</v>
      </c>
      <c r="AD132" s="31">
        <v>144104.42000000001</v>
      </c>
      <c r="AE132" s="31">
        <v>0</v>
      </c>
      <c r="AF132" s="34">
        <v>2020</v>
      </c>
      <c r="AG132" s="34">
        <v>2020</v>
      </c>
      <c r="AH132" s="35">
        <v>2020</v>
      </c>
      <c r="AT132" s="20" t="e">
        <f t="shared" si="11"/>
        <v>#N/A</v>
      </c>
      <c r="BZ132" s="71"/>
      <c r="CD132" s="20">
        <f t="shared" si="9"/>
        <v>865.12</v>
      </c>
      <c r="CE132" s="178" t="s">
        <v>1291</v>
      </c>
      <c r="CF132" s="178">
        <v>1401.4</v>
      </c>
    </row>
    <row r="133" spans="1:84" ht="61.5" x14ac:dyDescent="0.85">
      <c r="A133" s="20">
        <v>1</v>
      </c>
      <c r="B133" s="66">
        <f>SUBTOTAL(103,$A$22:A133)</f>
        <v>111</v>
      </c>
      <c r="C133" s="24" t="s">
        <v>463</v>
      </c>
      <c r="D133" s="31">
        <f t="shared" si="12"/>
        <v>2885005.74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3">
        <v>0</v>
      </c>
      <c r="L133" s="31">
        <v>0</v>
      </c>
      <c r="M133" s="31">
        <v>556.79999999999995</v>
      </c>
      <c r="N133" s="31">
        <v>2779000</v>
      </c>
      <c r="O133" s="31">
        <v>0</v>
      </c>
      <c r="P133" s="31">
        <v>0</v>
      </c>
      <c r="Q133" s="31">
        <v>0</v>
      </c>
      <c r="R133" s="31">
        <v>0</v>
      </c>
      <c r="S133" s="31">
        <v>0</v>
      </c>
      <c r="T133" s="31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f t="shared" si="13"/>
        <v>41685</v>
      </c>
      <c r="AD133" s="31">
        <v>64320.74</v>
      </c>
      <c r="AE133" s="31">
        <v>0</v>
      </c>
      <c r="AF133" s="34">
        <v>2020</v>
      </c>
      <c r="AG133" s="34">
        <v>2020</v>
      </c>
      <c r="AH133" s="35">
        <v>2020</v>
      </c>
      <c r="AT133" s="20" t="e">
        <f t="shared" si="11"/>
        <v>#N/A</v>
      </c>
      <c r="BZ133" s="71"/>
      <c r="CD133" s="20">
        <f t="shared" si="9"/>
        <v>556.79999999999995</v>
      </c>
      <c r="CE133" s="178" t="s">
        <v>1288</v>
      </c>
      <c r="CF133" s="178">
        <v>467.74</v>
      </c>
    </row>
    <row r="134" spans="1:84" ht="61.5" x14ac:dyDescent="0.85">
      <c r="A134" s="20">
        <v>1</v>
      </c>
      <c r="B134" s="66">
        <f>SUBTOTAL(103,$A$22:A134)</f>
        <v>112</v>
      </c>
      <c r="C134" s="24" t="s">
        <v>464</v>
      </c>
      <c r="D134" s="31">
        <f t="shared" si="12"/>
        <v>4516946.4800000004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3">
        <v>0</v>
      </c>
      <c r="L134" s="31">
        <v>0</v>
      </c>
      <c r="M134" s="31">
        <v>860.91</v>
      </c>
      <c r="N134" s="31">
        <v>4341703.6100000003</v>
      </c>
      <c r="O134" s="31">
        <v>0</v>
      </c>
      <c r="P134" s="31">
        <v>0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f t="shared" si="13"/>
        <v>65125.55</v>
      </c>
      <c r="AD134" s="31">
        <v>110117.32</v>
      </c>
      <c r="AE134" s="31">
        <v>0</v>
      </c>
      <c r="AF134" s="34">
        <v>2020</v>
      </c>
      <c r="AG134" s="34">
        <v>2020</v>
      </c>
      <c r="AH134" s="35">
        <v>2020</v>
      </c>
      <c r="AT134" s="20" t="e">
        <f t="shared" si="11"/>
        <v>#N/A</v>
      </c>
      <c r="BZ134" s="71"/>
      <c r="CD134" s="20">
        <f t="shared" si="9"/>
        <v>860.91</v>
      </c>
      <c r="CE134" s="178" t="s">
        <v>1296</v>
      </c>
      <c r="CF134" s="178">
        <v>949</v>
      </c>
    </row>
    <row r="135" spans="1:84" ht="61.5" x14ac:dyDescent="0.85">
      <c r="A135" s="20">
        <v>1</v>
      </c>
      <c r="B135" s="66">
        <f>SUBTOTAL(103,$A$22:A135)</f>
        <v>113</v>
      </c>
      <c r="C135" s="24" t="s">
        <v>465</v>
      </c>
      <c r="D135" s="31">
        <f t="shared" si="12"/>
        <v>2488287.8899999997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3">
        <v>0</v>
      </c>
      <c r="L135" s="31">
        <v>0</v>
      </c>
      <c r="M135" s="31">
        <v>0</v>
      </c>
      <c r="N135" s="31">
        <v>0</v>
      </c>
      <c r="O135" s="31">
        <v>0</v>
      </c>
      <c r="P135" s="31">
        <v>0</v>
      </c>
      <c r="Q135" s="31">
        <v>475</v>
      </c>
      <c r="R135" s="31">
        <f>1623436.34+700000</f>
        <v>2323436.34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f>ROUND(R135*1.5%,2)</f>
        <v>34851.550000000003</v>
      </c>
      <c r="AD135" s="31">
        <v>130000</v>
      </c>
      <c r="AE135" s="31">
        <v>0</v>
      </c>
      <c r="AF135" s="34">
        <v>2020</v>
      </c>
      <c r="AG135" s="34">
        <v>2020</v>
      </c>
      <c r="AH135" s="35">
        <v>2020</v>
      </c>
      <c r="AT135" s="20" t="e">
        <f t="shared" si="11"/>
        <v>#N/A</v>
      </c>
      <c r="BZ135" s="71"/>
      <c r="CD135" s="20" t="e">
        <f t="shared" si="9"/>
        <v>#N/A</v>
      </c>
      <c r="CE135" s="178" t="s">
        <v>1299</v>
      </c>
      <c r="CF135" s="178">
        <v>437.4</v>
      </c>
    </row>
    <row r="136" spans="1:84" ht="61.5" x14ac:dyDescent="0.85">
      <c r="A136" s="20">
        <v>1</v>
      </c>
      <c r="B136" s="66">
        <f>SUBTOTAL(103,$A$22:A136)</f>
        <v>114</v>
      </c>
      <c r="C136" s="24" t="s">
        <v>1165</v>
      </c>
      <c r="D136" s="31">
        <f t="shared" si="12"/>
        <v>3344006.3800000004</v>
      </c>
      <c r="E136" s="31">
        <v>0</v>
      </c>
      <c r="F136" s="31">
        <v>0</v>
      </c>
      <c r="G136" s="31">
        <v>1729603.72</v>
      </c>
      <c r="H136" s="31">
        <v>0</v>
      </c>
      <c r="I136" s="31">
        <v>1564983.85</v>
      </c>
      <c r="J136" s="31">
        <v>0</v>
      </c>
      <c r="K136" s="33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31">
        <v>0</v>
      </c>
      <c r="T136" s="31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f>ROUND((E136+F136+G136+H136+I136+J136)*1.5%,2)</f>
        <v>49418.81</v>
      </c>
      <c r="AD136" s="31">
        <v>0</v>
      </c>
      <c r="AE136" s="31">
        <v>0</v>
      </c>
      <c r="AF136" s="34" t="s">
        <v>274</v>
      </c>
      <c r="AG136" s="34">
        <v>2020</v>
      </c>
      <c r="AH136" s="35">
        <v>2020</v>
      </c>
      <c r="BZ136" s="71"/>
      <c r="CD136" s="20" t="e">
        <f t="shared" si="9"/>
        <v>#N/A</v>
      </c>
      <c r="CE136" s="178" t="s">
        <v>1300</v>
      </c>
      <c r="CF136" s="178">
        <v>408</v>
      </c>
    </row>
    <row r="137" spans="1:84" ht="61.5" x14ac:dyDescent="0.85">
      <c r="A137" s="20">
        <v>1</v>
      </c>
      <c r="B137" s="66">
        <f>SUBTOTAL(103,$A$22:A137)</f>
        <v>115</v>
      </c>
      <c r="C137" s="24" t="s">
        <v>1166</v>
      </c>
      <c r="D137" s="31">
        <f t="shared" si="12"/>
        <v>3020889.5500000003</v>
      </c>
      <c r="E137" s="31">
        <v>0</v>
      </c>
      <c r="F137" s="31">
        <v>0</v>
      </c>
      <c r="G137" s="31">
        <v>1899196.59</v>
      </c>
      <c r="H137" s="31">
        <v>0</v>
      </c>
      <c r="I137" s="31">
        <v>1077049.27</v>
      </c>
      <c r="J137" s="31">
        <v>0</v>
      </c>
      <c r="K137" s="33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31">
        <v>0</v>
      </c>
      <c r="T137" s="31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f>ROUND((E137+F137+G137+H137+I137+J137)*1.5%,2)</f>
        <v>44643.69</v>
      </c>
      <c r="AD137" s="31">
        <v>0</v>
      </c>
      <c r="AE137" s="31">
        <v>0</v>
      </c>
      <c r="AF137" s="34" t="s">
        <v>274</v>
      </c>
      <c r="AG137" s="34">
        <v>2020</v>
      </c>
      <c r="AH137" s="35">
        <v>2020</v>
      </c>
      <c r="BZ137" s="71"/>
      <c r="CD137" s="20" t="e">
        <f t="shared" si="9"/>
        <v>#N/A</v>
      </c>
      <c r="CE137" s="178" t="s">
        <v>192</v>
      </c>
      <c r="CF137" s="178">
        <v>1028.5999999999999</v>
      </c>
    </row>
    <row r="138" spans="1:84" ht="61.5" x14ac:dyDescent="0.85">
      <c r="A138" s="20">
        <v>1</v>
      </c>
      <c r="B138" s="66">
        <f>SUBTOTAL(103,$A$22:A138)</f>
        <v>116</v>
      </c>
      <c r="C138" s="24" t="s">
        <v>1167</v>
      </c>
      <c r="D138" s="31">
        <f t="shared" si="12"/>
        <v>1666784.6600000001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3">
        <v>0</v>
      </c>
      <c r="L138" s="31">
        <v>0</v>
      </c>
      <c r="M138" s="31">
        <v>0</v>
      </c>
      <c r="N138" s="31">
        <v>0</v>
      </c>
      <c r="O138" s="31">
        <v>0</v>
      </c>
      <c r="P138" s="31">
        <v>0</v>
      </c>
      <c r="Q138" s="31">
        <v>741.84</v>
      </c>
      <c r="R138" s="31">
        <v>1642152.37</v>
      </c>
      <c r="S138" s="31">
        <v>0</v>
      </c>
      <c r="T138" s="31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  <c r="Z138" s="31">
        <v>0</v>
      </c>
      <c r="AA138" s="31">
        <v>0</v>
      </c>
      <c r="AB138" s="31">
        <v>0</v>
      </c>
      <c r="AC138" s="31">
        <f>ROUND(R138*1.5%,2)</f>
        <v>24632.29</v>
      </c>
      <c r="AD138" s="31">
        <v>0</v>
      </c>
      <c r="AE138" s="31">
        <v>0</v>
      </c>
      <c r="AF138" s="34" t="s">
        <v>274</v>
      </c>
      <c r="AG138" s="34">
        <v>2020</v>
      </c>
      <c r="AH138" s="35">
        <v>2020</v>
      </c>
      <c r="BZ138" s="71"/>
      <c r="CD138" s="20" t="e">
        <f t="shared" si="9"/>
        <v>#N/A</v>
      </c>
      <c r="CE138" s="178" t="s">
        <v>191</v>
      </c>
      <c r="CF138" s="178">
        <v>578.4</v>
      </c>
    </row>
    <row r="139" spans="1:84" ht="61.5" x14ac:dyDescent="0.85">
      <c r="A139" s="20">
        <v>1</v>
      </c>
      <c r="B139" s="66">
        <f>SUBTOTAL(103,$A$22:A139)</f>
        <v>117</v>
      </c>
      <c r="C139" s="24" t="s">
        <v>1168</v>
      </c>
      <c r="D139" s="31">
        <f t="shared" si="12"/>
        <v>2074334.5899999999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3">
        <v>0</v>
      </c>
      <c r="L139" s="31">
        <v>0</v>
      </c>
      <c r="M139" s="31">
        <v>0</v>
      </c>
      <c r="N139" s="31">
        <v>0</v>
      </c>
      <c r="O139" s="31">
        <v>0</v>
      </c>
      <c r="P139" s="31">
        <v>0</v>
      </c>
      <c r="Q139" s="31">
        <v>905.1</v>
      </c>
      <c r="R139" s="31">
        <v>2043679.4</v>
      </c>
      <c r="S139" s="31">
        <v>0</v>
      </c>
      <c r="T139" s="31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f>ROUND(R139*1.5%,2)</f>
        <v>30655.19</v>
      </c>
      <c r="AD139" s="31">
        <v>0</v>
      </c>
      <c r="AE139" s="31">
        <v>0</v>
      </c>
      <c r="AF139" s="34" t="s">
        <v>274</v>
      </c>
      <c r="AG139" s="34">
        <v>2020</v>
      </c>
      <c r="AH139" s="35">
        <v>2020</v>
      </c>
      <c r="BZ139" s="71"/>
      <c r="CD139" s="20" t="e">
        <f t="shared" si="9"/>
        <v>#N/A</v>
      </c>
      <c r="CE139" s="178" t="s">
        <v>190</v>
      </c>
      <c r="CF139" s="178">
        <v>378</v>
      </c>
    </row>
    <row r="140" spans="1:84" ht="61.5" x14ac:dyDescent="0.85">
      <c r="A140" s="20">
        <v>1</v>
      </c>
      <c r="B140" s="66">
        <f>SUBTOTAL(103,$A$22:A140)</f>
        <v>118</v>
      </c>
      <c r="C140" s="24" t="s">
        <v>1169</v>
      </c>
      <c r="D140" s="31">
        <f t="shared" si="12"/>
        <v>154761.32999999999</v>
      </c>
      <c r="E140" s="31">
        <v>0</v>
      </c>
      <c r="F140" s="31">
        <v>0</v>
      </c>
      <c r="G140" s="31">
        <v>0</v>
      </c>
      <c r="H140" s="31">
        <v>0</v>
      </c>
      <c r="I140" s="31">
        <v>152474.22</v>
      </c>
      <c r="J140" s="31">
        <v>0</v>
      </c>
      <c r="K140" s="33">
        <v>0</v>
      </c>
      <c r="L140" s="31">
        <v>0</v>
      </c>
      <c r="M140" s="31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31">
        <v>0</v>
      </c>
      <c r="T140" s="31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f>ROUND((E140+F140+G140+H140+I140+J140)*1.5%,2)</f>
        <v>2287.11</v>
      </c>
      <c r="AD140" s="31">
        <v>0</v>
      </c>
      <c r="AE140" s="31">
        <v>0</v>
      </c>
      <c r="AF140" s="34" t="s">
        <v>274</v>
      </c>
      <c r="AG140" s="34">
        <v>2020</v>
      </c>
      <c r="AH140" s="35">
        <v>2020</v>
      </c>
      <c r="BZ140" s="71"/>
      <c r="CD140" s="20" t="e">
        <f t="shared" si="9"/>
        <v>#N/A</v>
      </c>
      <c r="CE140" s="178" t="s">
        <v>221</v>
      </c>
      <c r="CF140" s="178">
        <v>1057.07</v>
      </c>
    </row>
    <row r="141" spans="1:84" ht="61.5" x14ac:dyDescent="0.85">
      <c r="A141" s="20">
        <v>1</v>
      </c>
      <c r="B141" s="66">
        <f>SUBTOTAL(103,$A$22:A141)</f>
        <v>119</v>
      </c>
      <c r="C141" s="24" t="s">
        <v>1170</v>
      </c>
      <c r="D141" s="31">
        <f t="shared" si="12"/>
        <v>1358011.7</v>
      </c>
      <c r="E141" s="31">
        <v>0</v>
      </c>
      <c r="F141" s="31">
        <v>0</v>
      </c>
      <c r="G141" s="31">
        <v>0</v>
      </c>
      <c r="H141" s="31">
        <v>0</v>
      </c>
      <c r="I141" s="31">
        <v>0</v>
      </c>
      <c r="J141" s="31">
        <v>0</v>
      </c>
      <c r="K141" s="33">
        <v>0</v>
      </c>
      <c r="L141" s="31">
        <v>0</v>
      </c>
      <c r="M141" s="31">
        <v>0</v>
      </c>
      <c r="N141" s="31">
        <v>0</v>
      </c>
      <c r="O141" s="31">
        <v>0</v>
      </c>
      <c r="P141" s="31">
        <v>0</v>
      </c>
      <c r="Q141" s="31">
        <v>490</v>
      </c>
      <c r="R141" s="31">
        <v>1337942.56</v>
      </c>
      <c r="S141" s="31">
        <v>0</v>
      </c>
      <c r="T141" s="31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f>ROUND(R141*1.5%,2)</f>
        <v>20069.14</v>
      </c>
      <c r="AD141" s="31">
        <v>0</v>
      </c>
      <c r="AE141" s="31">
        <v>0</v>
      </c>
      <c r="AF141" s="34" t="s">
        <v>274</v>
      </c>
      <c r="AG141" s="34">
        <v>2020</v>
      </c>
      <c r="AH141" s="35">
        <v>2020</v>
      </c>
      <c r="BZ141" s="71"/>
      <c r="CD141" s="20" t="e">
        <f t="shared" si="9"/>
        <v>#N/A</v>
      </c>
      <c r="CE141" s="178" t="s">
        <v>225</v>
      </c>
      <c r="CF141" s="178">
        <v>615.20000000000005</v>
      </c>
    </row>
    <row r="142" spans="1:84" ht="61.5" x14ac:dyDescent="0.85">
      <c r="A142" s="20">
        <v>1</v>
      </c>
      <c r="B142" s="66">
        <f>SUBTOTAL(103,$A$22:A142)</f>
        <v>120</v>
      </c>
      <c r="C142" s="24" t="s">
        <v>1171</v>
      </c>
      <c r="D142" s="31">
        <f t="shared" si="12"/>
        <v>741685.94</v>
      </c>
      <c r="E142" s="31">
        <v>93824.95</v>
      </c>
      <c r="F142" s="31">
        <v>0</v>
      </c>
      <c r="G142" s="31">
        <v>324128.62</v>
      </c>
      <c r="H142" s="31">
        <v>134041.13</v>
      </c>
      <c r="I142" s="31">
        <v>178730.36</v>
      </c>
      <c r="J142" s="31">
        <v>0</v>
      </c>
      <c r="K142" s="33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f>ROUND((E142+F142+G142+H142+I142+J142)*1.5%,2)</f>
        <v>10960.88</v>
      </c>
      <c r="AD142" s="31">
        <v>0</v>
      </c>
      <c r="AE142" s="31">
        <v>0</v>
      </c>
      <c r="AF142" s="34" t="s">
        <v>274</v>
      </c>
      <c r="AG142" s="34">
        <v>2020</v>
      </c>
      <c r="AH142" s="35">
        <v>2020</v>
      </c>
      <c r="BZ142" s="71"/>
      <c r="CD142" s="20" t="e">
        <f t="shared" si="9"/>
        <v>#N/A</v>
      </c>
      <c r="CE142" s="178" t="s">
        <v>227</v>
      </c>
      <c r="CF142" s="178">
        <v>289.86</v>
      </c>
    </row>
    <row r="143" spans="1:84" ht="61.5" x14ac:dyDescent="0.85">
      <c r="A143" s="20">
        <v>1</v>
      </c>
      <c r="B143" s="66">
        <f>SUBTOTAL(103,$A$22:A143)</f>
        <v>121</v>
      </c>
      <c r="C143" s="24" t="s">
        <v>1172</v>
      </c>
      <c r="D143" s="31">
        <f t="shared" si="12"/>
        <v>2205149.9699999997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3">
        <v>0</v>
      </c>
      <c r="L143" s="31">
        <v>0</v>
      </c>
      <c r="M143" s="31">
        <v>0</v>
      </c>
      <c r="N143" s="31">
        <v>0</v>
      </c>
      <c r="O143" s="31">
        <v>0</v>
      </c>
      <c r="P143" s="31">
        <v>0</v>
      </c>
      <c r="Q143" s="31">
        <v>868.72</v>
      </c>
      <c r="R143" s="31">
        <v>2172561.5499999998</v>
      </c>
      <c r="S143" s="31">
        <v>0</v>
      </c>
      <c r="T143" s="31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f>ROUND(R143*1.5%,2)</f>
        <v>32588.42</v>
      </c>
      <c r="AD143" s="31">
        <v>0</v>
      </c>
      <c r="AE143" s="31">
        <v>0</v>
      </c>
      <c r="AF143" s="34" t="s">
        <v>274</v>
      </c>
      <c r="AG143" s="34">
        <v>2020</v>
      </c>
      <c r="AH143" s="35">
        <v>2020</v>
      </c>
      <c r="BZ143" s="71"/>
      <c r="CD143" s="20" t="e">
        <f t="shared" si="9"/>
        <v>#N/A</v>
      </c>
      <c r="CE143" s="178" t="s">
        <v>525</v>
      </c>
      <c r="CF143" s="178">
        <v>952</v>
      </c>
    </row>
    <row r="144" spans="1:84" ht="61.5" x14ac:dyDescent="0.85">
      <c r="A144" s="20">
        <v>1</v>
      </c>
      <c r="B144" s="66">
        <f>SUBTOTAL(103,$A$22:A144)</f>
        <v>122</v>
      </c>
      <c r="C144" s="24" t="s">
        <v>1173</v>
      </c>
      <c r="D144" s="31">
        <f t="shared" si="12"/>
        <v>1409669.3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3">
        <v>0</v>
      </c>
      <c r="L144" s="31">
        <v>0</v>
      </c>
      <c r="M144" s="31">
        <v>0</v>
      </c>
      <c r="N144" s="31">
        <v>0</v>
      </c>
      <c r="O144" s="31">
        <v>0</v>
      </c>
      <c r="P144" s="31">
        <v>0</v>
      </c>
      <c r="Q144" s="31">
        <v>573.12</v>
      </c>
      <c r="R144" s="31">
        <v>1388836.75</v>
      </c>
      <c r="S144" s="31">
        <v>0</v>
      </c>
      <c r="T144" s="31">
        <v>0</v>
      </c>
      <c r="U144" s="31">
        <v>0</v>
      </c>
      <c r="V144" s="31">
        <v>0</v>
      </c>
      <c r="W144" s="31">
        <v>0</v>
      </c>
      <c r="X144" s="31">
        <v>0</v>
      </c>
      <c r="Y144" s="31">
        <v>0</v>
      </c>
      <c r="Z144" s="31">
        <v>0</v>
      </c>
      <c r="AA144" s="31">
        <v>0</v>
      </c>
      <c r="AB144" s="31">
        <v>0</v>
      </c>
      <c r="AC144" s="31">
        <f>ROUND(R144*1.5%,2)</f>
        <v>20832.55</v>
      </c>
      <c r="AD144" s="31">
        <v>0</v>
      </c>
      <c r="AE144" s="31">
        <v>0</v>
      </c>
      <c r="AF144" s="34" t="s">
        <v>274</v>
      </c>
      <c r="AG144" s="34">
        <v>2020</v>
      </c>
      <c r="AH144" s="35">
        <v>2020</v>
      </c>
      <c r="BZ144" s="71"/>
      <c r="CD144" s="20" t="e">
        <f t="shared" si="9"/>
        <v>#N/A</v>
      </c>
      <c r="CE144" s="178" t="s">
        <v>536</v>
      </c>
      <c r="CF144" s="178">
        <v>904</v>
      </c>
    </row>
    <row r="145" spans="1:84" ht="61.5" x14ac:dyDescent="0.85">
      <c r="A145" s="20">
        <v>1</v>
      </c>
      <c r="B145" s="66">
        <f>SUBTOTAL(103,$A$22:A145)</f>
        <v>123</v>
      </c>
      <c r="C145" s="24" t="s">
        <v>1174</v>
      </c>
      <c r="D145" s="31">
        <f t="shared" si="12"/>
        <v>1971369.43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3">
        <v>0</v>
      </c>
      <c r="L145" s="31">
        <v>0</v>
      </c>
      <c r="M145" s="31">
        <v>0</v>
      </c>
      <c r="N145" s="31">
        <v>0</v>
      </c>
      <c r="O145" s="31">
        <v>0</v>
      </c>
      <c r="P145" s="31">
        <v>0</v>
      </c>
      <c r="Q145" s="31">
        <v>397</v>
      </c>
      <c r="R145" s="31">
        <v>1824009.29</v>
      </c>
      <c r="S145" s="31">
        <v>0</v>
      </c>
      <c r="T145" s="31">
        <v>0</v>
      </c>
      <c r="U145" s="31">
        <v>0</v>
      </c>
      <c r="V145" s="31">
        <v>0</v>
      </c>
      <c r="W145" s="31">
        <v>0</v>
      </c>
      <c r="X145" s="31">
        <v>0</v>
      </c>
      <c r="Y145" s="31">
        <v>0</v>
      </c>
      <c r="Z145" s="31">
        <v>0</v>
      </c>
      <c r="AA145" s="31">
        <v>0</v>
      </c>
      <c r="AB145" s="31">
        <v>0</v>
      </c>
      <c r="AC145" s="31">
        <f>ROUND(R145*1.5%,2)</f>
        <v>27360.14</v>
      </c>
      <c r="AD145" s="31">
        <v>0</v>
      </c>
      <c r="AE145" s="31">
        <v>120000</v>
      </c>
      <c r="AF145" s="34" t="s">
        <v>274</v>
      </c>
      <c r="AG145" s="34">
        <v>2020</v>
      </c>
      <c r="AH145" s="35">
        <v>2020</v>
      </c>
      <c r="BZ145" s="71"/>
      <c r="CD145" s="20" t="e">
        <f t="shared" si="9"/>
        <v>#N/A</v>
      </c>
      <c r="CE145" s="178" t="s">
        <v>454</v>
      </c>
      <c r="CF145" s="178">
        <v>592.20000000000005</v>
      </c>
    </row>
    <row r="146" spans="1:84" ht="61.5" x14ac:dyDescent="0.85">
      <c r="A146" s="20">
        <v>1</v>
      </c>
      <c r="B146" s="66">
        <f>SUBTOTAL(103,$A$22:A146)</f>
        <v>124</v>
      </c>
      <c r="C146" s="24" t="s">
        <v>1175</v>
      </c>
      <c r="D146" s="31">
        <f t="shared" si="12"/>
        <v>5593558.4000000004</v>
      </c>
      <c r="E146" s="31">
        <v>0</v>
      </c>
      <c r="F146" s="31">
        <v>0</v>
      </c>
      <c r="G146" s="31">
        <v>0</v>
      </c>
      <c r="H146" s="31">
        <v>0</v>
      </c>
      <c r="I146" s="31">
        <v>0</v>
      </c>
      <c r="J146" s="31">
        <v>0</v>
      </c>
      <c r="K146" s="33">
        <v>4</v>
      </c>
      <c r="L146" s="31">
        <v>5593558.4000000004</v>
      </c>
      <c r="M146" s="31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31">
        <v>0</v>
      </c>
      <c r="T146" s="31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1">
        <v>0</v>
      </c>
      <c r="AF146" s="34" t="s">
        <v>274</v>
      </c>
      <c r="AG146" s="34">
        <v>2020</v>
      </c>
      <c r="AH146" s="35" t="s">
        <v>274</v>
      </c>
      <c r="BZ146" s="71"/>
      <c r="CD146" s="20" t="e">
        <f t="shared" si="9"/>
        <v>#N/A</v>
      </c>
      <c r="CE146" s="178" t="s">
        <v>648</v>
      </c>
      <c r="CF146" s="178">
        <v>586.70000000000005</v>
      </c>
    </row>
    <row r="147" spans="1:84" ht="61.5" x14ac:dyDescent="0.85">
      <c r="A147" s="20">
        <v>1</v>
      </c>
      <c r="B147" s="66">
        <f>SUBTOTAL(103,$A$22:A147)</f>
        <v>125</v>
      </c>
      <c r="C147" s="24" t="s">
        <v>1176</v>
      </c>
      <c r="D147" s="31">
        <f t="shared" si="12"/>
        <v>3010382.16</v>
      </c>
      <c r="E147" s="31">
        <v>188641.32</v>
      </c>
      <c r="F147" s="31">
        <v>0</v>
      </c>
      <c r="G147" s="31">
        <v>1349896.11</v>
      </c>
      <c r="H147" s="31">
        <v>178663.47</v>
      </c>
      <c r="I147" s="31">
        <v>1248692.8500000001</v>
      </c>
      <c r="J147" s="31">
        <v>0</v>
      </c>
      <c r="K147" s="33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31">
        <v>0</v>
      </c>
      <c r="T147" s="31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f>ROUND((E147+F147+G147+H147+I147+J147)*1.5%,2)</f>
        <v>44488.41</v>
      </c>
      <c r="AD147" s="31">
        <v>0</v>
      </c>
      <c r="AE147" s="31">
        <v>0</v>
      </c>
      <c r="AF147" s="34" t="s">
        <v>274</v>
      </c>
      <c r="AG147" s="34">
        <v>2020</v>
      </c>
      <c r="AH147" s="35">
        <v>2020</v>
      </c>
      <c r="BZ147" s="71"/>
      <c r="CD147" s="20" t="e">
        <f t="shared" si="9"/>
        <v>#N/A</v>
      </c>
      <c r="CE147" s="178" t="s">
        <v>649</v>
      </c>
      <c r="CF147" s="178">
        <v>384.56</v>
      </c>
    </row>
    <row r="148" spans="1:84" ht="61.5" x14ac:dyDescent="0.85">
      <c r="A148" s="20">
        <v>1</v>
      </c>
      <c r="B148" s="66">
        <f>SUBTOTAL(103,$A$22:A148)</f>
        <v>126</v>
      </c>
      <c r="C148" s="24" t="s">
        <v>1177</v>
      </c>
      <c r="D148" s="31">
        <f t="shared" si="12"/>
        <v>2901759.67</v>
      </c>
      <c r="E148" s="31">
        <v>204220.48</v>
      </c>
      <c r="F148" s="31">
        <v>347232.06</v>
      </c>
      <c r="G148" s="31">
        <v>968662.29</v>
      </c>
      <c r="H148" s="31">
        <v>340067.7</v>
      </c>
      <c r="I148" s="31">
        <v>998693.99</v>
      </c>
      <c r="J148" s="31">
        <v>0</v>
      </c>
      <c r="K148" s="33">
        <v>0</v>
      </c>
      <c r="L148" s="31">
        <v>0</v>
      </c>
      <c r="M148" s="31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31">
        <v>0</v>
      </c>
      <c r="T148" s="31">
        <v>0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f>ROUND((E148+F148+G148+H148+I148+J148)*1.5%,2)</f>
        <v>42883.15</v>
      </c>
      <c r="AD148" s="31">
        <v>0</v>
      </c>
      <c r="AE148" s="31">
        <v>0</v>
      </c>
      <c r="AF148" s="34" t="s">
        <v>274</v>
      </c>
      <c r="AG148" s="34">
        <v>2020</v>
      </c>
      <c r="AH148" s="35">
        <v>2020</v>
      </c>
      <c r="BZ148" s="71"/>
      <c r="CD148" s="20" t="e">
        <f t="shared" si="9"/>
        <v>#N/A</v>
      </c>
      <c r="CE148" s="178" t="s">
        <v>1314</v>
      </c>
      <c r="CF148" s="178">
        <v>500</v>
      </c>
    </row>
    <row r="149" spans="1:84" ht="61.5" x14ac:dyDescent="0.85">
      <c r="A149" s="20">
        <v>1</v>
      </c>
      <c r="B149" s="66">
        <f>SUBTOTAL(103,$A$22:A149)</f>
        <v>127</v>
      </c>
      <c r="C149" s="24" t="s">
        <v>1178</v>
      </c>
      <c r="D149" s="31">
        <f t="shared" si="12"/>
        <v>5068816.8</v>
      </c>
      <c r="E149" s="31">
        <v>0</v>
      </c>
      <c r="F149" s="31">
        <v>0</v>
      </c>
      <c r="G149" s="31">
        <v>2189130.42</v>
      </c>
      <c r="H149" s="31">
        <v>460575.66</v>
      </c>
      <c r="I149" s="31">
        <v>2344202.1</v>
      </c>
      <c r="J149" s="31">
        <v>0</v>
      </c>
      <c r="K149" s="33">
        <v>0</v>
      </c>
      <c r="L149" s="31">
        <v>0</v>
      </c>
      <c r="M149" s="31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31">
        <v>0</v>
      </c>
      <c r="T149" s="31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f>ROUND((E149+F149+G149+H149+I149+J149)*1.5%,2)</f>
        <v>74908.62</v>
      </c>
      <c r="AD149" s="31">
        <v>0</v>
      </c>
      <c r="AE149" s="31">
        <v>0</v>
      </c>
      <c r="AF149" s="34" t="s">
        <v>274</v>
      </c>
      <c r="AG149" s="34">
        <v>2020</v>
      </c>
      <c r="AH149" s="35">
        <v>2020</v>
      </c>
      <c r="BZ149" s="71"/>
      <c r="CD149" s="20" t="e">
        <f t="shared" si="9"/>
        <v>#N/A</v>
      </c>
      <c r="CE149" s="178" t="s">
        <v>1139</v>
      </c>
      <c r="CF149" s="178">
        <v>946</v>
      </c>
    </row>
    <row r="150" spans="1:84" ht="61.5" x14ac:dyDescent="0.85">
      <c r="A150" s="20">
        <v>1</v>
      </c>
      <c r="B150" s="66">
        <f>SUBTOTAL(103,$A$22:A150)</f>
        <v>128</v>
      </c>
      <c r="C150" s="24" t="s">
        <v>1179</v>
      </c>
      <c r="D150" s="31">
        <f t="shared" si="12"/>
        <v>3428296.69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3">
        <v>0</v>
      </c>
      <c r="L150" s="31">
        <v>0</v>
      </c>
      <c r="M150" s="31">
        <v>633.34</v>
      </c>
      <c r="N150" s="31">
        <v>3279110.04</v>
      </c>
      <c r="O150" s="31">
        <v>0</v>
      </c>
      <c r="P150" s="31">
        <v>0</v>
      </c>
      <c r="Q150" s="31">
        <v>0</v>
      </c>
      <c r="R150" s="31">
        <v>0</v>
      </c>
      <c r="S150" s="31">
        <v>0</v>
      </c>
      <c r="T150" s="31">
        <v>0</v>
      </c>
      <c r="U150" s="31">
        <v>0</v>
      </c>
      <c r="V150" s="31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f>ROUND(N150*1.5%,2)</f>
        <v>49186.65</v>
      </c>
      <c r="AD150" s="31">
        <v>100000</v>
      </c>
      <c r="AE150" s="31">
        <v>0</v>
      </c>
      <c r="AF150" s="34">
        <v>2020</v>
      </c>
      <c r="AG150" s="34">
        <v>2020</v>
      </c>
      <c r="AH150" s="35">
        <v>2020</v>
      </c>
      <c r="BZ150" s="71"/>
      <c r="CD150" s="20">
        <f t="shared" si="9"/>
        <v>633.34</v>
      </c>
      <c r="CE150" s="178" t="s">
        <v>1140</v>
      </c>
      <c r="CF150" s="178">
        <v>365.5</v>
      </c>
    </row>
    <row r="151" spans="1:84" ht="61.5" x14ac:dyDescent="0.85">
      <c r="A151" s="20">
        <v>1</v>
      </c>
      <c r="B151" s="66">
        <f>SUBTOTAL(103,$A$22:A151)</f>
        <v>129</v>
      </c>
      <c r="C151" s="24" t="s">
        <v>1316</v>
      </c>
      <c r="D151" s="31">
        <f t="shared" si="12"/>
        <v>6675394.71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3">
        <v>0</v>
      </c>
      <c r="L151" s="31">
        <v>0</v>
      </c>
      <c r="M151" s="31">
        <v>1674.7</v>
      </c>
      <c r="N151" s="31">
        <v>6576743.5599999996</v>
      </c>
      <c r="O151" s="31">
        <v>0</v>
      </c>
      <c r="P151" s="31">
        <v>0</v>
      </c>
      <c r="Q151" s="31">
        <v>0</v>
      </c>
      <c r="R151" s="31">
        <v>0</v>
      </c>
      <c r="S151" s="31">
        <v>0</v>
      </c>
      <c r="T151" s="31">
        <v>0</v>
      </c>
      <c r="U151" s="31">
        <v>0</v>
      </c>
      <c r="V151" s="31">
        <v>0</v>
      </c>
      <c r="W151" s="31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0</v>
      </c>
      <c r="AC151" s="31">
        <f>ROUND(N151*1.5%,2)</f>
        <v>98651.15</v>
      </c>
      <c r="AD151" s="31">
        <v>0</v>
      </c>
      <c r="AE151" s="31">
        <v>0</v>
      </c>
      <c r="AF151" s="34" t="s">
        <v>274</v>
      </c>
      <c r="AG151" s="34">
        <v>2020</v>
      </c>
      <c r="AH151" s="35">
        <v>2020</v>
      </c>
      <c r="BZ151" s="71"/>
      <c r="CD151" s="20">
        <f t="shared" ref="CD151:CD214" si="14">VLOOKUP(C151,CE:CF,2,FALSE)</f>
        <v>1674.7</v>
      </c>
      <c r="CE151" s="178" t="s">
        <v>1141</v>
      </c>
      <c r="CF151" s="178">
        <v>365.5</v>
      </c>
    </row>
    <row r="152" spans="1:84" ht="61.5" x14ac:dyDescent="0.85">
      <c r="A152" s="20">
        <v>1</v>
      </c>
      <c r="B152" s="66">
        <f>SUBTOTAL(103,$A$22:A152)</f>
        <v>130</v>
      </c>
      <c r="C152" s="24" t="s">
        <v>473</v>
      </c>
      <c r="D152" s="31">
        <f t="shared" si="12"/>
        <v>4358701.74</v>
      </c>
      <c r="E152" s="31">
        <v>0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3">
        <v>0</v>
      </c>
      <c r="L152" s="31">
        <v>0</v>
      </c>
      <c r="M152" s="31">
        <v>719</v>
      </c>
      <c r="N152" s="31">
        <f>3767437.77-538188.54+946811.6</f>
        <v>4176060.83</v>
      </c>
      <c r="O152" s="31">
        <v>0</v>
      </c>
      <c r="P152" s="31">
        <v>0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f>ROUND(N152*1.5%,2)</f>
        <v>62640.91</v>
      </c>
      <c r="AD152" s="31">
        <v>120000</v>
      </c>
      <c r="AE152" s="31">
        <v>0</v>
      </c>
      <c r="AF152" s="34">
        <v>2020</v>
      </c>
      <c r="AG152" s="34">
        <v>2020</v>
      </c>
      <c r="AH152" s="35">
        <v>2020</v>
      </c>
      <c r="BZ152" s="71"/>
      <c r="CD152" s="20" t="e">
        <f t="shared" si="14"/>
        <v>#N/A</v>
      </c>
      <c r="CE152" s="178" t="s">
        <v>453</v>
      </c>
      <c r="CF152" s="178">
        <v>598</v>
      </c>
    </row>
    <row r="153" spans="1:84" ht="61.5" x14ac:dyDescent="0.85">
      <c r="A153" s="20">
        <v>1</v>
      </c>
      <c r="B153" s="66">
        <f>SUBTOTAL(103,$A$22:A153)</f>
        <v>131</v>
      </c>
      <c r="C153" s="24" t="s">
        <v>1317</v>
      </c>
      <c r="D153" s="31">
        <f t="shared" si="12"/>
        <v>3032293.2399999998</v>
      </c>
      <c r="E153" s="31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3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593.15</v>
      </c>
      <c r="R153" s="31">
        <f>1741055.4+1138051.24</f>
        <v>2879106.6399999997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f>ROUND(R153*1.5%,2)</f>
        <v>43186.6</v>
      </c>
      <c r="AD153" s="31">
        <v>110000</v>
      </c>
      <c r="AE153" s="31">
        <v>0</v>
      </c>
      <c r="AF153" s="34">
        <v>2020</v>
      </c>
      <c r="AG153" s="34">
        <v>2020</v>
      </c>
      <c r="AH153" s="35">
        <v>2020</v>
      </c>
      <c r="BZ153" s="71"/>
      <c r="CD153" s="20" t="e">
        <f t="shared" si="14"/>
        <v>#N/A</v>
      </c>
      <c r="CE153" s="178" t="s">
        <v>645</v>
      </c>
      <c r="CF153" s="178">
        <v>486.27</v>
      </c>
    </row>
    <row r="154" spans="1:84" ht="61.5" x14ac:dyDescent="0.85">
      <c r="A154" s="20">
        <v>1</v>
      </c>
      <c r="B154" s="66">
        <f>SUBTOTAL(103,$A$22:A154)</f>
        <v>132</v>
      </c>
      <c r="C154" s="24" t="s">
        <v>1608</v>
      </c>
      <c r="D154" s="31">
        <f t="shared" si="12"/>
        <v>2944456.9299999997</v>
      </c>
      <c r="E154" s="31">
        <v>0</v>
      </c>
      <c r="F154" s="31">
        <v>0</v>
      </c>
      <c r="G154" s="31">
        <v>0</v>
      </c>
      <c r="H154" s="31">
        <v>0</v>
      </c>
      <c r="I154" s="31">
        <v>0</v>
      </c>
      <c r="J154" s="31">
        <v>0</v>
      </c>
      <c r="K154" s="33">
        <v>0</v>
      </c>
      <c r="L154" s="31">
        <v>0</v>
      </c>
      <c r="M154" s="31">
        <v>0</v>
      </c>
      <c r="N154" s="31">
        <v>0</v>
      </c>
      <c r="O154" s="31">
        <v>0</v>
      </c>
      <c r="P154" s="31">
        <v>0</v>
      </c>
      <c r="Q154" s="31">
        <v>634.6</v>
      </c>
      <c r="R154" s="31">
        <f>2665320+70388.03+40708.59</f>
        <v>2776416.6199999996</v>
      </c>
      <c r="S154" s="31">
        <v>0</v>
      </c>
      <c r="T154" s="31">
        <v>0</v>
      </c>
      <c r="U154" s="31">
        <v>0</v>
      </c>
      <c r="V154" s="31">
        <v>0</v>
      </c>
      <c r="W154" s="31">
        <v>0</v>
      </c>
      <c r="X154" s="31">
        <v>0</v>
      </c>
      <c r="Y154" s="31">
        <v>0</v>
      </c>
      <c r="Z154" s="31">
        <v>0</v>
      </c>
      <c r="AA154" s="31">
        <v>0</v>
      </c>
      <c r="AB154" s="31">
        <v>0</v>
      </c>
      <c r="AC154" s="31">
        <f>ROUND(R154*1.5%,2)</f>
        <v>41646.25</v>
      </c>
      <c r="AD154" s="31">
        <f>120000+6394.06</f>
        <v>126394.06</v>
      </c>
      <c r="AE154" s="31">
        <v>0</v>
      </c>
      <c r="AF154" s="34">
        <v>2020</v>
      </c>
      <c r="AG154" s="34">
        <v>2020</v>
      </c>
      <c r="AH154" s="35">
        <v>2020</v>
      </c>
      <c r="BZ154" s="71"/>
      <c r="CD154" s="20" t="e">
        <f t="shared" si="14"/>
        <v>#N/A</v>
      </c>
      <c r="CE154" s="178" t="s">
        <v>117</v>
      </c>
      <c r="CF154" s="178">
        <v>1151</v>
      </c>
    </row>
    <row r="155" spans="1:84" ht="61.5" x14ac:dyDescent="0.85">
      <c r="B155" s="24" t="s">
        <v>782</v>
      </c>
      <c r="C155" s="166"/>
      <c r="D155" s="31">
        <f>SUM(D156:D195)</f>
        <v>145566464.63000003</v>
      </c>
      <c r="E155" s="31">
        <f t="shared" ref="E155:AE155" si="15">SUM(E156:E195)</f>
        <v>609927.16999999993</v>
      </c>
      <c r="F155" s="31">
        <f t="shared" si="15"/>
        <v>735842.56</v>
      </c>
      <c r="G155" s="31">
        <f t="shared" si="15"/>
        <v>12763402.789999999</v>
      </c>
      <c r="H155" s="31">
        <f t="shared" si="15"/>
        <v>285000</v>
      </c>
      <c r="I155" s="31">
        <f t="shared" si="15"/>
        <v>1145867.71</v>
      </c>
      <c r="J155" s="31">
        <f t="shared" si="15"/>
        <v>0</v>
      </c>
      <c r="K155" s="33">
        <f t="shared" si="15"/>
        <v>16</v>
      </c>
      <c r="L155" s="31">
        <f t="shared" si="15"/>
        <v>25038268.969999999</v>
      </c>
      <c r="M155" s="31">
        <f t="shared" si="15"/>
        <v>16787.78</v>
      </c>
      <c r="N155" s="31">
        <f t="shared" si="15"/>
        <v>75765317.939999998</v>
      </c>
      <c r="O155" s="31">
        <f t="shared" si="15"/>
        <v>943</v>
      </c>
      <c r="P155" s="31">
        <f t="shared" si="15"/>
        <v>2835629.57</v>
      </c>
      <c r="Q155" s="31">
        <f t="shared" si="15"/>
        <v>3695</v>
      </c>
      <c r="R155" s="31">
        <f t="shared" si="15"/>
        <v>15104092.92</v>
      </c>
      <c r="S155" s="31">
        <f t="shared" si="15"/>
        <v>393.7</v>
      </c>
      <c r="T155" s="31">
        <f t="shared" si="15"/>
        <v>7108865.0800000001</v>
      </c>
      <c r="U155" s="31">
        <f t="shared" si="15"/>
        <v>0</v>
      </c>
      <c r="V155" s="31">
        <f t="shared" si="15"/>
        <v>0</v>
      </c>
      <c r="W155" s="31">
        <f t="shared" si="15"/>
        <v>0</v>
      </c>
      <c r="X155" s="31">
        <f t="shared" si="15"/>
        <v>0</v>
      </c>
      <c r="Y155" s="31">
        <f t="shared" si="15"/>
        <v>0</v>
      </c>
      <c r="Z155" s="31">
        <f t="shared" si="15"/>
        <v>0</v>
      </c>
      <c r="AA155" s="31">
        <f t="shared" si="15"/>
        <v>0</v>
      </c>
      <c r="AB155" s="31">
        <f t="shared" si="15"/>
        <v>0</v>
      </c>
      <c r="AC155" s="31">
        <f t="shared" si="15"/>
        <v>1745309.1900000002</v>
      </c>
      <c r="AD155" s="31">
        <f t="shared" si="15"/>
        <v>2428940.7299999991</v>
      </c>
      <c r="AE155" s="31">
        <f t="shared" si="15"/>
        <v>0</v>
      </c>
      <c r="AF155" s="72" t="s">
        <v>776</v>
      </c>
      <c r="AG155" s="72" t="s">
        <v>776</v>
      </c>
      <c r="AH155" s="89" t="s">
        <v>776</v>
      </c>
      <c r="AT155" s="20" t="e">
        <f t="shared" ref="AT155:AT171" si="16">VLOOKUP(C155,AW:AX,2,FALSE)</f>
        <v>#N/A</v>
      </c>
      <c r="BZ155" s="31">
        <v>157621357.26999998</v>
      </c>
      <c r="CA155" s="31"/>
      <c r="CB155" s="31">
        <f>BZ155-D155</f>
        <v>12054892.639999956</v>
      </c>
      <c r="CD155" s="20" t="e">
        <f t="shared" si="14"/>
        <v>#N/A</v>
      </c>
      <c r="CE155" s="178" t="s">
        <v>171</v>
      </c>
      <c r="CF155" s="178">
        <v>336.14</v>
      </c>
    </row>
    <row r="156" spans="1:84" ht="61.5" x14ac:dyDescent="0.85">
      <c r="A156" s="20">
        <v>1</v>
      </c>
      <c r="B156" s="66">
        <f>SUBTOTAL(103,$A$22:A156)</f>
        <v>133</v>
      </c>
      <c r="C156" s="24" t="s">
        <v>396</v>
      </c>
      <c r="D156" s="31">
        <f t="shared" ref="D156:D195" si="17">E156+F156+G156+H156+I156+J156+L156+N156+P156+R156+T156+U156+V156+W156+X156+Y156+Z156+AA156+AB156+AC156+AD156+AE156</f>
        <v>2686667.5</v>
      </c>
      <c r="E156" s="31">
        <v>0</v>
      </c>
      <c r="F156" s="31">
        <v>0</v>
      </c>
      <c r="G156" s="31">
        <v>0</v>
      </c>
      <c r="H156" s="31">
        <v>0</v>
      </c>
      <c r="I156" s="31">
        <v>0</v>
      </c>
      <c r="J156" s="31">
        <v>0</v>
      </c>
      <c r="K156" s="33">
        <v>0</v>
      </c>
      <c r="L156" s="31">
        <v>0</v>
      </c>
      <c r="M156" s="31">
        <v>1108.98</v>
      </c>
      <c r="N156" s="31">
        <v>2492694.84</v>
      </c>
      <c r="O156" s="31">
        <v>0</v>
      </c>
      <c r="P156" s="31">
        <v>0</v>
      </c>
      <c r="Q156" s="31">
        <v>0</v>
      </c>
      <c r="R156" s="31">
        <v>0</v>
      </c>
      <c r="S156" s="31">
        <v>0</v>
      </c>
      <c r="T156" s="31">
        <v>0</v>
      </c>
      <c r="U156" s="31">
        <v>0</v>
      </c>
      <c r="V156" s="31">
        <v>0</v>
      </c>
      <c r="W156" s="31">
        <v>0</v>
      </c>
      <c r="X156" s="31">
        <v>0</v>
      </c>
      <c r="Y156" s="31">
        <v>0</v>
      </c>
      <c r="Z156" s="31">
        <v>0</v>
      </c>
      <c r="AA156" s="31">
        <v>0</v>
      </c>
      <c r="AB156" s="31">
        <v>0</v>
      </c>
      <c r="AC156" s="31">
        <f>ROUND(N156*1.5%,2)</f>
        <v>37390.42</v>
      </c>
      <c r="AD156" s="31">
        <v>156582.24</v>
      </c>
      <c r="AE156" s="31">
        <v>0</v>
      </c>
      <c r="AF156" s="34">
        <v>2020</v>
      </c>
      <c r="AG156" s="34">
        <v>2020</v>
      </c>
      <c r="AH156" s="35">
        <v>2020</v>
      </c>
      <c r="AT156" s="20" t="e">
        <f t="shared" si="16"/>
        <v>#N/A</v>
      </c>
      <c r="BZ156" s="71"/>
      <c r="CD156" s="20">
        <f t="shared" si="14"/>
        <v>1108.98</v>
      </c>
      <c r="CE156" s="178" t="s">
        <v>1269</v>
      </c>
      <c r="CF156" s="178">
        <v>335</v>
      </c>
    </row>
    <row r="157" spans="1:84" ht="61.5" x14ac:dyDescent="0.85">
      <c r="A157" s="20">
        <v>1</v>
      </c>
      <c r="B157" s="66">
        <f>SUBTOTAL(103,$A$22:A157)</f>
        <v>134</v>
      </c>
      <c r="C157" s="24" t="s">
        <v>397</v>
      </c>
      <c r="D157" s="31">
        <f t="shared" si="17"/>
        <v>3090535.5400000005</v>
      </c>
      <c r="E157" s="31">
        <v>407927.17</v>
      </c>
      <c r="F157" s="31">
        <v>735842.56</v>
      </c>
      <c r="G157" s="31">
        <v>1730218.76</v>
      </c>
      <c r="H157" s="31">
        <v>0</v>
      </c>
      <c r="I157" s="31">
        <v>0</v>
      </c>
      <c r="J157" s="31">
        <v>0</v>
      </c>
      <c r="K157" s="33">
        <v>0</v>
      </c>
      <c r="L157" s="31">
        <v>0</v>
      </c>
      <c r="M157" s="31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f>ROUND((E157+F157+G157+H157+I157+J157)*1.5%,2)</f>
        <v>43109.83</v>
      </c>
      <c r="AD157" s="31">
        <v>173437.22</v>
      </c>
      <c r="AE157" s="31">
        <v>0</v>
      </c>
      <c r="AF157" s="34">
        <v>2020</v>
      </c>
      <c r="AG157" s="34">
        <v>2020</v>
      </c>
      <c r="AH157" s="35">
        <v>2020</v>
      </c>
      <c r="AT157" s="20" t="e">
        <f t="shared" si="16"/>
        <v>#N/A</v>
      </c>
      <c r="BZ157" s="71"/>
      <c r="CD157" s="20" t="e">
        <f t="shared" si="14"/>
        <v>#N/A</v>
      </c>
      <c r="CE157" s="178" t="s">
        <v>1275</v>
      </c>
      <c r="CF157" s="178">
        <v>678.5</v>
      </c>
    </row>
    <row r="158" spans="1:84" ht="61.5" x14ac:dyDescent="0.85">
      <c r="A158" s="20">
        <v>1</v>
      </c>
      <c r="B158" s="66">
        <f>SUBTOTAL(103,$A$22:A158)</f>
        <v>135</v>
      </c>
      <c r="C158" s="24" t="s">
        <v>398</v>
      </c>
      <c r="D158" s="31">
        <f t="shared" si="17"/>
        <v>3235281</v>
      </c>
      <c r="E158" s="31">
        <v>0</v>
      </c>
      <c r="F158" s="31">
        <v>0</v>
      </c>
      <c r="G158" s="31">
        <v>0</v>
      </c>
      <c r="H158" s="31">
        <v>0</v>
      </c>
      <c r="I158" s="31">
        <v>0</v>
      </c>
      <c r="J158" s="31">
        <v>0</v>
      </c>
      <c r="K158" s="33">
        <v>0</v>
      </c>
      <c r="L158" s="31">
        <v>0</v>
      </c>
      <c r="M158" s="31">
        <v>600</v>
      </c>
      <c r="N158" s="31">
        <v>3110660</v>
      </c>
      <c r="O158" s="31">
        <v>0</v>
      </c>
      <c r="P158" s="31">
        <v>0</v>
      </c>
      <c r="Q158" s="31">
        <v>0</v>
      </c>
      <c r="R158" s="31">
        <v>0</v>
      </c>
      <c r="S158" s="31">
        <v>0</v>
      </c>
      <c r="T158" s="31">
        <v>0</v>
      </c>
      <c r="U158" s="31">
        <v>0</v>
      </c>
      <c r="V158" s="31">
        <v>0</v>
      </c>
      <c r="W158" s="31">
        <v>0</v>
      </c>
      <c r="X158" s="31">
        <v>0</v>
      </c>
      <c r="Y158" s="31">
        <v>0</v>
      </c>
      <c r="Z158" s="31">
        <v>0</v>
      </c>
      <c r="AA158" s="31">
        <v>0</v>
      </c>
      <c r="AB158" s="31">
        <v>0</v>
      </c>
      <c r="AC158" s="31">
        <f>ROUND(N158*1.5%,2)</f>
        <v>46659.9</v>
      </c>
      <c r="AD158" s="31">
        <v>77961.100000000006</v>
      </c>
      <c r="AE158" s="31">
        <v>0</v>
      </c>
      <c r="AF158" s="34">
        <v>2020</v>
      </c>
      <c r="AG158" s="34">
        <v>2020</v>
      </c>
      <c r="AH158" s="35">
        <v>2020</v>
      </c>
      <c r="AT158" s="20" t="e">
        <f t="shared" si="16"/>
        <v>#N/A</v>
      </c>
      <c r="BZ158" s="71"/>
      <c r="CD158" s="20">
        <f t="shared" si="14"/>
        <v>600</v>
      </c>
      <c r="CE158" s="178" t="s">
        <v>1147</v>
      </c>
      <c r="CF158" s="178">
        <v>453.4</v>
      </c>
    </row>
    <row r="159" spans="1:84" ht="61.5" x14ac:dyDescent="0.85">
      <c r="A159" s="20">
        <v>1</v>
      </c>
      <c r="B159" s="66">
        <f>SUBTOTAL(103,$A$22:A159)</f>
        <v>136</v>
      </c>
      <c r="C159" s="24" t="s">
        <v>399</v>
      </c>
      <c r="D159" s="31">
        <f t="shared" si="17"/>
        <v>4961392.7300000004</v>
      </c>
      <c r="E159" s="31">
        <v>0</v>
      </c>
      <c r="F159" s="31">
        <v>0</v>
      </c>
      <c r="G159" s="31">
        <v>0</v>
      </c>
      <c r="H159" s="31">
        <v>0</v>
      </c>
      <c r="I159" s="31">
        <v>0</v>
      </c>
      <c r="J159" s="31">
        <v>0</v>
      </c>
      <c r="K159" s="33">
        <v>0</v>
      </c>
      <c r="L159" s="31">
        <v>0</v>
      </c>
      <c r="M159" s="31">
        <v>928</v>
      </c>
      <c r="N159" s="31">
        <v>4757799.24</v>
      </c>
      <c r="O159" s="31">
        <v>0</v>
      </c>
      <c r="P159" s="31">
        <v>0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f>ROUND(N159*1.5%,2)</f>
        <v>71366.990000000005</v>
      </c>
      <c r="AD159" s="31">
        <v>132226.5</v>
      </c>
      <c r="AE159" s="31">
        <v>0</v>
      </c>
      <c r="AF159" s="34">
        <v>2020</v>
      </c>
      <c r="AG159" s="34">
        <v>2020</v>
      </c>
      <c r="AH159" s="35">
        <v>2020</v>
      </c>
      <c r="AT159" s="20" t="e">
        <f t="shared" si="16"/>
        <v>#N/A</v>
      </c>
      <c r="BZ159" s="71"/>
      <c r="CD159" s="20" t="e">
        <f t="shared" si="14"/>
        <v>#N/A</v>
      </c>
      <c r="CE159" s="178" t="s">
        <v>1283</v>
      </c>
      <c r="CF159" s="178">
        <v>511.8</v>
      </c>
    </row>
    <row r="160" spans="1:84" ht="61.5" x14ac:dyDescent="0.85">
      <c r="A160" s="20">
        <v>1</v>
      </c>
      <c r="B160" s="66">
        <f>SUBTOTAL(103,$A$22:A160)</f>
        <v>137</v>
      </c>
      <c r="C160" s="24" t="s">
        <v>400</v>
      </c>
      <c r="D160" s="31">
        <f t="shared" si="17"/>
        <v>4506717.16</v>
      </c>
      <c r="E160" s="31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3">
        <v>0</v>
      </c>
      <c r="L160" s="31">
        <v>0</v>
      </c>
      <c r="M160" s="31">
        <v>976</v>
      </c>
      <c r="N160" s="31">
        <v>4308509.83</v>
      </c>
      <c r="O160" s="31">
        <v>0</v>
      </c>
      <c r="P160" s="31">
        <v>0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1">
        <v>0</v>
      </c>
      <c r="AA160" s="31">
        <v>0</v>
      </c>
      <c r="AB160" s="31">
        <v>0</v>
      </c>
      <c r="AC160" s="31">
        <f>ROUND(N160*1.5%,2)</f>
        <v>64627.65</v>
      </c>
      <c r="AD160" s="31">
        <v>133579.68</v>
      </c>
      <c r="AE160" s="31">
        <v>0</v>
      </c>
      <c r="AF160" s="34">
        <v>2020</v>
      </c>
      <c r="AG160" s="34">
        <v>2020</v>
      </c>
      <c r="AH160" s="35">
        <v>2020</v>
      </c>
      <c r="AT160" s="20" t="e">
        <f t="shared" si="16"/>
        <v>#N/A</v>
      </c>
      <c r="BZ160" s="71"/>
      <c r="CD160" s="20" t="e">
        <f t="shared" si="14"/>
        <v>#N/A</v>
      </c>
      <c r="CE160" s="178" t="s">
        <v>1157</v>
      </c>
      <c r="CF160" s="178">
        <v>556.6</v>
      </c>
    </row>
    <row r="161" spans="1:84" ht="61.5" x14ac:dyDescent="0.85">
      <c r="A161" s="20">
        <v>1</v>
      </c>
      <c r="B161" s="66">
        <f>SUBTOTAL(103,$A$22:A161)</f>
        <v>138</v>
      </c>
      <c r="C161" s="24" t="s">
        <v>401</v>
      </c>
      <c r="D161" s="31">
        <f t="shared" si="17"/>
        <v>4937143.8899999997</v>
      </c>
      <c r="E161" s="31">
        <v>0</v>
      </c>
      <c r="F161" s="31">
        <v>0</v>
      </c>
      <c r="G161" s="31">
        <v>0</v>
      </c>
      <c r="H161" s="31">
        <v>0</v>
      </c>
      <c r="I161" s="31">
        <v>0</v>
      </c>
      <c r="J161" s="31">
        <v>0</v>
      </c>
      <c r="K161" s="33">
        <v>3</v>
      </c>
      <c r="L161" s="31">
        <v>4937143.8899999997</v>
      </c>
      <c r="M161" s="31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0</v>
      </c>
      <c r="T161" s="31">
        <v>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1">
        <v>0</v>
      </c>
      <c r="AF161" s="34" t="s">
        <v>274</v>
      </c>
      <c r="AG161" s="34">
        <v>2020</v>
      </c>
      <c r="AH161" s="35" t="s">
        <v>274</v>
      </c>
      <c r="AT161" s="20">
        <f t="shared" si="16"/>
        <v>1</v>
      </c>
      <c r="BZ161" s="71"/>
      <c r="CD161" s="20" t="e">
        <f t="shared" si="14"/>
        <v>#N/A</v>
      </c>
      <c r="CE161" s="178" t="s">
        <v>1596</v>
      </c>
      <c r="CF161" s="178">
        <v>466.12</v>
      </c>
    </row>
    <row r="162" spans="1:84" ht="61.5" x14ac:dyDescent="0.85">
      <c r="A162" s="20">
        <v>1</v>
      </c>
      <c r="B162" s="66">
        <f>SUBTOTAL(103,$A$22:A162)</f>
        <v>139</v>
      </c>
      <c r="C162" s="24" t="s">
        <v>402</v>
      </c>
      <c r="D162" s="31">
        <f t="shared" si="17"/>
        <v>2248715.0900000003</v>
      </c>
      <c r="E162" s="31">
        <v>0</v>
      </c>
      <c r="F162" s="31">
        <v>0</v>
      </c>
      <c r="G162" s="31">
        <v>0</v>
      </c>
      <c r="H162" s="31">
        <v>0</v>
      </c>
      <c r="I162" s="31">
        <v>0</v>
      </c>
      <c r="J162" s="31">
        <v>0</v>
      </c>
      <c r="K162" s="33">
        <v>0</v>
      </c>
      <c r="L162" s="31">
        <v>0</v>
      </c>
      <c r="M162" s="31">
        <v>443.8</v>
      </c>
      <c r="N162" s="31">
        <v>2215482.85</v>
      </c>
      <c r="O162" s="31">
        <v>0</v>
      </c>
      <c r="P162" s="31">
        <v>0</v>
      </c>
      <c r="Q162" s="31">
        <v>0</v>
      </c>
      <c r="R162" s="31">
        <v>0</v>
      </c>
      <c r="S162" s="31">
        <v>0</v>
      </c>
      <c r="T162" s="31">
        <v>0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f>ROUND(N162*1.5%,2)</f>
        <v>33232.239999999998</v>
      </c>
      <c r="AD162" s="31">
        <v>0</v>
      </c>
      <c r="AE162" s="31">
        <v>0</v>
      </c>
      <c r="AF162" s="34" t="s">
        <v>274</v>
      </c>
      <c r="AG162" s="34">
        <v>2020</v>
      </c>
      <c r="AH162" s="35">
        <v>2020</v>
      </c>
      <c r="AT162" s="20" t="e">
        <f t="shared" si="16"/>
        <v>#N/A</v>
      </c>
      <c r="BZ162" s="71"/>
      <c r="CD162" s="20">
        <f t="shared" si="14"/>
        <v>443.8</v>
      </c>
      <c r="CE162" s="178" t="s">
        <v>1592</v>
      </c>
      <c r="CF162" s="178">
        <v>859</v>
      </c>
    </row>
    <row r="163" spans="1:84" ht="61.5" x14ac:dyDescent="0.85">
      <c r="A163" s="20">
        <v>1</v>
      </c>
      <c r="B163" s="66">
        <f>SUBTOTAL(103,$A$22:A163)</f>
        <v>140</v>
      </c>
      <c r="C163" s="24" t="s">
        <v>403</v>
      </c>
      <c r="D163" s="31">
        <f t="shared" si="17"/>
        <v>4885396.4400000004</v>
      </c>
      <c r="E163" s="31">
        <v>0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3">
        <v>3</v>
      </c>
      <c r="L163" s="31">
        <v>4885396.4400000004</v>
      </c>
      <c r="M163" s="31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31">
        <v>0</v>
      </c>
      <c r="T163" s="31">
        <v>0</v>
      </c>
      <c r="U163" s="31">
        <v>0</v>
      </c>
      <c r="V163" s="31">
        <v>0</v>
      </c>
      <c r="W163" s="31">
        <v>0</v>
      </c>
      <c r="X163" s="31">
        <v>0</v>
      </c>
      <c r="Y163" s="31">
        <v>0</v>
      </c>
      <c r="Z163" s="31">
        <v>0</v>
      </c>
      <c r="AA163" s="31">
        <v>0</v>
      </c>
      <c r="AB163" s="31">
        <v>0</v>
      </c>
      <c r="AC163" s="31">
        <v>0</v>
      </c>
      <c r="AD163" s="31">
        <v>0</v>
      </c>
      <c r="AE163" s="31">
        <v>0</v>
      </c>
      <c r="AF163" s="34" t="s">
        <v>274</v>
      </c>
      <c r="AG163" s="34">
        <v>2020</v>
      </c>
      <c r="AH163" s="35" t="s">
        <v>274</v>
      </c>
      <c r="AT163" s="20" t="e">
        <f t="shared" si="16"/>
        <v>#N/A</v>
      </c>
      <c r="BZ163" s="71"/>
      <c r="CD163" s="20" t="e">
        <f t="shared" si="14"/>
        <v>#N/A</v>
      </c>
      <c r="CE163" s="178" t="s">
        <v>1591</v>
      </c>
      <c r="CF163" s="178">
        <v>1028.5</v>
      </c>
    </row>
    <row r="164" spans="1:84" ht="61.5" x14ac:dyDescent="0.85">
      <c r="A164" s="20">
        <v>1</v>
      </c>
      <c r="B164" s="66">
        <f>SUBTOTAL(103,$A$22:A164)</f>
        <v>141</v>
      </c>
      <c r="C164" s="24" t="s">
        <v>404</v>
      </c>
      <c r="D164" s="31">
        <f t="shared" si="17"/>
        <v>8468852.0999999996</v>
      </c>
      <c r="E164" s="31">
        <v>0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3">
        <v>0</v>
      </c>
      <c r="L164" s="31">
        <v>0</v>
      </c>
      <c r="M164" s="31">
        <v>1580</v>
      </c>
      <c r="N164" s="31">
        <v>8185978.25</v>
      </c>
      <c r="O164" s="31">
        <v>0</v>
      </c>
      <c r="P164" s="31">
        <v>0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31">
        <f>ROUND(N164*1.5%,2)</f>
        <v>122789.67</v>
      </c>
      <c r="AD164" s="31">
        <v>160084.18</v>
      </c>
      <c r="AE164" s="31">
        <v>0</v>
      </c>
      <c r="AF164" s="34">
        <v>2020</v>
      </c>
      <c r="AG164" s="34">
        <v>2020</v>
      </c>
      <c r="AH164" s="35">
        <v>2020</v>
      </c>
      <c r="AT164" s="20" t="e">
        <f t="shared" si="16"/>
        <v>#N/A</v>
      </c>
      <c r="BZ164" s="71"/>
      <c r="CD164" s="20" t="e">
        <f t="shared" si="14"/>
        <v>#N/A</v>
      </c>
      <c r="CE164" s="178" t="s">
        <v>396</v>
      </c>
      <c r="CF164" s="178">
        <v>1108.98</v>
      </c>
    </row>
    <row r="165" spans="1:84" ht="61.5" x14ac:dyDescent="0.85">
      <c r="A165" s="20">
        <v>1</v>
      </c>
      <c r="B165" s="66">
        <f>SUBTOTAL(103,$A$22:A165)</f>
        <v>142</v>
      </c>
      <c r="C165" s="24" t="s">
        <v>405</v>
      </c>
      <c r="D165" s="31">
        <f t="shared" si="17"/>
        <v>5226218.99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3">
        <v>0</v>
      </c>
      <c r="L165" s="31">
        <v>0</v>
      </c>
      <c r="M165" s="31">
        <v>1120</v>
      </c>
      <c r="N165" s="31">
        <v>4994211.8000000007</v>
      </c>
      <c r="O165" s="31">
        <v>0</v>
      </c>
      <c r="P165" s="31">
        <v>0</v>
      </c>
      <c r="Q165" s="31">
        <v>0</v>
      </c>
      <c r="R165" s="31">
        <v>0</v>
      </c>
      <c r="S165" s="31">
        <v>0</v>
      </c>
      <c r="T165" s="31">
        <v>0</v>
      </c>
      <c r="U165" s="31">
        <v>0</v>
      </c>
      <c r="V165" s="31">
        <v>0</v>
      </c>
      <c r="W165" s="31">
        <v>0</v>
      </c>
      <c r="X165" s="31">
        <v>0</v>
      </c>
      <c r="Y165" s="31">
        <v>0</v>
      </c>
      <c r="Z165" s="31">
        <v>0</v>
      </c>
      <c r="AA165" s="31">
        <v>0</v>
      </c>
      <c r="AB165" s="31">
        <v>0</v>
      </c>
      <c r="AC165" s="31">
        <f>ROUND(N165*1.5%,2)</f>
        <v>74913.179999999993</v>
      </c>
      <c r="AD165" s="31">
        <v>157094.01</v>
      </c>
      <c r="AE165" s="31">
        <v>0</v>
      </c>
      <c r="AF165" s="34">
        <v>2020</v>
      </c>
      <c r="AG165" s="34">
        <v>2020</v>
      </c>
      <c r="AH165" s="35">
        <v>2020</v>
      </c>
      <c r="AT165" s="20" t="e">
        <f t="shared" si="16"/>
        <v>#N/A</v>
      </c>
      <c r="BZ165" s="71"/>
      <c r="CD165" s="20" t="e">
        <f t="shared" si="14"/>
        <v>#N/A</v>
      </c>
      <c r="CE165" s="178" t="s">
        <v>398</v>
      </c>
      <c r="CF165" s="178">
        <v>600</v>
      </c>
    </row>
    <row r="166" spans="1:84" ht="61.5" x14ac:dyDescent="0.85">
      <c r="A166" s="20">
        <v>1</v>
      </c>
      <c r="B166" s="66">
        <f>SUBTOTAL(103,$A$22:A166)</f>
        <v>143</v>
      </c>
      <c r="C166" s="24" t="s">
        <v>406</v>
      </c>
      <c r="D166" s="31">
        <f t="shared" si="17"/>
        <v>2469495</v>
      </c>
      <c r="E166" s="31">
        <v>0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3">
        <v>0</v>
      </c>
      <c r="L166" s="31">
        <v>0</v>
      </c>
      <c r="M166" s="31">
        <v>473</v>
      </c>
      <c r="N166" s="31">
        <v>2433000</v>
      </c>
      <c r="O166" s="31">
        <v>0</v>
      </c>
      <c r="P166" s="31">
        <v>0</v>
      </c>
      <c r="Q166" s="31">
        <v>0</v>
      </c>
      <c r="R166" s="31">
        <v>0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0</v>
      </c>
      <c r="Z166" s="31">
        <v>0</v>
      </c>
      <c r="AA166" s="31">
        <v>0</v>
      </c>
      <c r="AB166" s="31">
        <v>0</v>
      </c>
      <c r="AC166" s="31">
        <f>ROUND(N166*1.5%,2)</f>
        <v>36495</v>
      </c>
      <c r="AD166" s="31">
        <v>0</v>
      </c>
      <c r="AE166" s="31">
        <v>0</v>
      </c>
      <c r="AF166" s="34" t="s">
        <v>274</v>
      </c>
      <c r="AG166" s="34">
        <v>2020</v>
      </c>
      <c r="AH166" s="35">
        <v>2020</v>
      </c>
      <c r="AT166" s="20" t="e">
        <f t="shared" si="16"/>
        <v>#N/A</v>
      </c>
      <c r="BZ166" s="71"/>
      <c r="CD166" s="20">
        <f t="shared" si="14"/>
        <v>473</v>
      </c>
      <c r="CE166" s="178" t="s">
        <v>402</v>
      </c>
      <c r="CF166" s="178">
        <v>443.8</v>
      </c>
    </row>
    <row r="167" spans="1:84" ht="61.5" x14ac:dyDescent="0.85">
      <c r="A167" s="20">
        <v>1</v>
      </c>
      <c r="B167" s="66">
        <f>SUBTOTAL(103,$A$22:A167)</f>
        <v>144</v>
      </c>
      <c r="C167" s="24" t="s">
        <v>407</v>
      </c>
      <c r="D167" s="31">
        <f t="shared" si="17"/>
        <v>2897372.4000000004</v>
      </c>
      <c r="E167" s="31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3">
        <v>0</v>
      </c>
      <c r="L167" s="31">
        <v>0</v>
      </c>
      <c r="M167" s="31">
        <v>550</v>
      </c>
      <c r="N167" s="31">
        <v>2777462</v>
      </c>
      <c r="O167" s="31">
        <v>0</v>
      </c>
      <c r="P167" s="31">
        <v>0</v>
      </c>
      <c r="Q167" s="31">
        <v>0</v>
      </c>
      <c r="R167" s="31">
        <v>0</v>
      </c>
      <c r="S167" s="31">
        <v>0</v>
      </c>
      <c r="T167" s="31">
        <v>0</v>
      </c>
      <c r="U167" s="31">
        <v>0</v>
      </c>
      <c r="V167" s="31">
        <v>0</v>
      </c>
      <c r="W167" s="31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0</v>
      </c>
      <c r="AC167" s="31">
        <f>ROUND(N167*1.5%,2)</f>
        <v>41661.93</v>
      </c>
      <c r="AD167" s="31">
        <v>78248.47</v>
      </c>
      <c r="AE167" s="31">
        <v>0</v>
      </c>
      <c r="AF167" s="34">
        <v>2020</v>
      </c>
      <c r="AG167" s="34">
        <v>2020</v>
      </c>
      <c r="AH167" s="35">
        <v>2020</v>
      </c>
      <c r="AT167" s="20" t="e">
        <f t="shared" si="16"/>
        <v>#N/A</v>
      </c>
      <c r="BZ167" s="71"/>
      <c r="CD167" s="20">
        <f t="shared" si="14"/>
        <v>550</v>
      </c>
      <c r="CE167" s="178" t="s">
        <v>406</v>
      </c>
      <c r="CF167" s="178">
        <v>473</v>
      </c>
    </row>
    <row r="168" spans="1:84" ht="61.5" x14ac:dyDescent="0.85">
      <c r="A168" s="20">
        <v>1</v>
      </c>
      <c r="B168" s="66">
        <f>SUBTOTAL(103,$A$22:A168)</f>
        <v>145</v>
      </c>
      <c r="C168" s="24" t="s">
        <v>408</v>
      </c>
      <c r="D168" s="31">
        <f t="shared" si="17"/>
        <v>3951540.32</v>
      </c>
      <c r="E168" s="31">
        <v>0</v>
      </c>
      <c r="F168" s="31">
        <v>0</v>
      </c>
      <c r="G168" s="31">
        <v>3809166.55</v>
      </c>
      <c r="H168" s="31">
        <v>0</v>
      </c>
      <c r="I168" s="31">
        <v>0</v>
      </c>
      <c r="J168" s="31">
        <v>0</v>
      </c>
      <c r="K168" s="33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f>ROUND((E168+F168+G168+H168+I168+J168)*1.5%,2)</f>
        <v>57137.5</v>
      </c>
      <c r="AD168" s="31">
        <v>85236.27</v>
      </c>
      <c r="AE168" s="31">
        <v>0</v>
      </c>
      <c r="AF168" s="34">
        <v>2020</v>
      </c>
      <c r="AG168" s="34">
        <v>2020</v>
      </c>
      <c r="AH168" s="35">
        <v>2020</v>
      </c>
      <c r="AT168" s="20" t="e">
        <f t="shared" si="16"/>
        <v>#N/A</v>
      </c>
      <c r="BZ168" s="71"/>
      <c r="CD168" s="20" t="e">
        <f t="shared" si="14"/>
        <v>#N/A</v>
      </c>
      <c r="CE168" s="178" t="s">
        <v>407</v>
      </c>
      <c r="CF168" s="178">
        <v>550</v>
      </c>
    </row>
    <row r="169" spans="1:84" ht="61.5" x14ac:dyDescent="0.85">
      <c r="A169" s="20">
        <v>1</v>
      </c>
      <c r="B169" s="66">
        <f>SUBTOTAL(103,$A$22:A169)</f>
        <v>146</v>
      </c>
      <c r="C169" s="24" t="s">
        <v>202</v>
      </c>
      <c r="D169" s="31">
        <f t="shared" si="17"/>
        <v>6209660.79</v>
      </c>
      <c r="E169" s="31">
        <v>0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3">
        <v>0</v>
      </c>
      <c r="L169" s="31">
        <v>0</v>
      </c>
      <c r="M169" s="31">
        <v>1330</v>
      </c>
      <c r="N169" s="31">
        <v>5963877.7400000002</v>
      </c>
      <c r="O169" s="31">
        <v>0</v>
      </c>
      <c r="P169" s="31">
        <v>0</v>
      </c>
      <c r="Q169" s="31">
        <v>0</v>
      </c>
      <c r="R169" s="31">
        <v>0</v>
      </c>
      <c r="S169" s="31">
        <v>0</v>
      </c>
      <c r="T169" s="31">
        <v>0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1">
        <v>0</v>
      </c>
      <c r="AA169" s="31">
        <v>0</v>
      </c>
      <c r="AB169" s="31">
        <v>0</v>
      </c>
      <c r="AC169" s="31">
        <f>ROUND(N169*1.5%,2)</f>
        <v>89458.17</v>
      </c>
      <c r="AD169" s="31">
        <v>156324.88</v>
      </c>
      <c r="AE169" s="31">
        <v>0</v>
      </c>
      <c r="AF169" s="34">
        <v>2020</v>
      </c>
      <c r="AG169" s="34">
        <v>2020</v>
      </c>
      <c r="AH169" s="35">
        <v>2020</v>
      </c>
      <c r="AT169" s="20" t="e">
        <f t="shared" si="16"/>
        <v>#N/A</v>
      </c>
      <c r="BZ169" s="71"/>
      <c r="CD169" s="20" t="e">
        <f t="shared" si="14"/>
        <v>#N/A</v>
      </c>
      <c r="CE169" s="178" t="s">
        <v>409</v>
      </c>
      <c r="CF169" s="178">
        <v>342</v>
      </c>
    </row>
    <row r="170" spans="1:84" ht="61.5" x14ac:dyDescent="0.85">
      <c r="A170" s="20">
        <v>1</v>
      </c>
      <c r="B170" s="66">
        <f>SUBTOTAL(103,$A$22:A170)</f>
        <v>147</v>
      </c>
      <c r="C170" s="24" t="s">
        <v>409</v>
      </c>
      <c r="D170" s="31">
        <f t="shared" si="17"/>
        <v>1855795.01</v>
      </c>
      <c r="E170" s="31">
        <v>0</v>
      </c>
      <c r="F170" s="31">
        <v>0</v>
      </c>
      <c r="G170" s="31">
        <v>0</v>
      </c>
      <c r="H170" s="31">
        <v>0</v>
      </c>
      <c r="I170" s="31">
        <v>0</v>
      </c>
      <c r="J170" s="31">
        <v>0</v>
      </c>
      <c r="K170" s="33">
        <v>0</v>
      </c>
      <c r="L170" s="31">
        <v>0</v>
      </c>
      <c r="M170" s="31">
        <v>342</v>
      </c>
      <c r="N170" s="31">
        <v>1828369.47</v>
      </c>
      <c r="O170" s="31">
        <v>0</v>
      </c>
      <c r="P170" s="31">
        <v>0</v>
      </c>
      <c r="Q170" s="31">
        <v>0</v>
      </c>
      <c r="R170" s="31">
        <v>0</v>
      </c>
      <c r="S170" s="31">
        <v>0</v>
      </c>
      <c r="T170" s="31">
        <v>0</v>
      </c>
      <c r="U170" s="31">
        <v>0</v>
      </c>
      <c r="V170" s="31">
        <v>0</v>
      </c>
      <c r="W170" s="31">
        <v>0</v>
      </c>
      <c r="X170" s="31">
        <v>0</v>
      </c>
      <c r="Y170" s="31">
        <v>0</v>
      </c>
      <c r="Z170" s="31">
        <v>0</v>
      </c>
      <c r="AA170" s="31">
        <v>0</v>
      </c>
      <c r="AB170" s="31">
        <v>0</v>
      </c>
      <c r="AC170" s="31">
        <f>ROUND(N170*1.5%,2)</f>
        <v>27425.54</v>
      </c>
      <c r="AD170" s="31">
        <v>0</v>
      </c>
      <c r="AE170" s="31">
        <v>0</v>
      </c>
      <c r="AF170" s="34" t="s">
        <v>274</v>
      </c>
      <c r="AG170" s="34">
        <v>2020</v>
      </c>
      <c r="AH170" s="35">
        <v>2020</v>
      </c>
      <c r="AT170" s="20" t="e">
        <f t="shared" si="16"/>
        <v>#N/A</v>
      </c>
      <c r="BZ170" s="71"/>
      <c r="CD170" s="20">
        <f t="shared" si="14"/>
        <v>342</v>
      </c>
      <c r="CE170" s="178" t="s">
        <v>1181</v>
      </c>
      <c r="CF170" s="178">
        <v>331</v>
      </c>
    </row>
    <row r="171" spans="1:84" ht="61.5" x14ac:dyDescent="0.85">
      <c r="A171" s="20">
        <v>1</v>
      </c>
      <c r="B171" s="66">
        <f>SUBTOTAL(103,$A$22:A171)</f>
        <v>148</v>
      </c>
      <c r="C171" s="24" t="s">
        <v>410</v>
      </c>
      <c r="D171" s="31">
        <f t="shared" si="17"/>
        <v>9454848.4199999999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3">
        <v>0</v>
      </c>
      <c r="L171" s="31">
        <v>0</v>
      </c>
      <c r="M171" s="31">
        <v>2022</v>
      </c>
      <c r="N171" s="31">
        <v>9159157.9000000004</v>
      </c>
      <c r="O171" s="31">
        <v>0</v>
      </c>
      <c r="P171" s="31">
        <v>0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f>ROUND(N171*1.5%,2)</f>
        <v>137387.37</v>
      </c>
      <c r="AD171" s="31">
        <v>158303.15</v>
      </c>
      <c r="AE171" s="31">
        <v>0</v>
      </c>
      <c r="AF171" s="34">
        <v>2020</v>
      </c>
      <c r="AG171" s="34">
        <v>2020</v>
      </c>
      <c r="AH171" s="35">
        <v>2020</v>
      </c>
      <c r="AT171" s="20" t="e">
        <f t="shared" si="16"/>
        <v>#N/A</v>
      </c>
      <c r="BZ171" s="71"/>
      <c r="CD171" s="20" t="e">
        <f t="shared" si="14"/>
        <v>#N/A</v>
      </c>
      <c r="CE171" s="178" t="s">
        <v>1601</v>
      </c>
      <c r="CF171" s="178">
        <v>792</v>
      </c>
    </row>
    <row r="172" spans="1:84" ht="61.5" x14ac:dyDescent="0.85">
      <c r="A172" s="20">
        <v>1</v>
      </c>
      <c r="B172" s="66">
        <f>SUBTOTAL(103,$A$22:A172)</f>
        <v>149</v>
      </c>
      <c r="C172" s="24" t="s">
        <v>1180</v>
      </c>
      <c r="D172" s="31">
        <f t="shared" si="17"/>
        <v>2520245</v>
      </c>
      <c r="E172" s="31">
        <v>202000</v>
      </c>
      <c r="F172" s="31">
        <v>0</v>
      </c>
      <c r="G172" s="31">
        <v>1503000</v>
      </c>
      <c r="H172" s="31">
        <v>285000</v>
      </c>
      <c r="I172" s="31">
        <v>493000</v>
      </c>
      <c r="J172" s="31">
        <v>0</v>
      </c>
      <c r="K172" s="33">
        <v>0</v>
      </c>
      <c r="L172" s="31">
        <v>0</v>
      </c>
      <c r="M172" s="31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  <c r="Z172" s="31">
        <v>0</v>
      </c>
      <c r="AA172" s="31">
        <v>0</v>
      </c>
      <c r="AB172" s="31">
        <v>0</v>
      </c>
      <c r="AC172" s="31">
        <f>ROUND((E172+F172+G172+H172+I172+J172)*1.5%,2)</f>
        <v>37245</v>
      </c>
      <c r="AD172" s="31">
        <v>0</v>
      </c>
      <c r="AE172" s="31">
        <v>0</v>
      </c>
      <c r="AF172" s="34" t="s">
        <v>274</v>
      </c>
      <c r="AG172" s="34">
        <v>2020</v>
      </c>
      <c r="AH172" s="35">
        <v>2020</v>
      </c>
      <c r="BZ172" s="71"/>
      <c r="CD172" s="20" t="e">
        <f t="shared" si="14"/>
        <v>#N/A</v>
      </c>
      <c r="CE172" s="178" t="s">
        <v>1599</v>
      </c>
      <c r="CF172" s="178">
        <v>592.07000000000005</v>
      </c>
    </row>
    <row r="173" spans="1:84" ht="61.5" x14ac:dyDescent="0.85">
      <c r="A173" s="20">
        <v>1</v>
      </c>
      <c r="B173" s="66">
        <f>SUBTOTAL(103,$A$22:A173)</f>
        <v>150</v>
      </c>
      <c r="C173" s="24" t="s">
        <v>1181</v>
      </c>
      <c r="D173" s="31">
        <f t="shared" si="17"/>
        <v>1572592.28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3">
        <v>0</v>
      </c>
      <c r="L173" s="31">
        <v>0</v>
      </c>
      <c r="M173" s="31">
        <v>331</v>
      </c>
      <c r="N173" s="31">
        <v>1549352</v>
      </c>
      <c r="O173" s="31">
        <v>0</v>
      </c>
      <c r="P173" s="31">
        <v>0</v>
      </c>
      <c r="Q173" s="31">
        <v>0</v>
      </c>
      <c r="R173" s="31">
        <v>0</v>
      </c>
      <c r="S173" s="31">
        <v>0</v>
      </c>
      <c r="T173" s="31">
        <v>0</v>
      </c>
      <c r="U173" s="31">
        <v>0</v>
      </c>
      <c r="V173" s="31">
        <v>0</v>
      </c>
      <c r="W173" s="31">
        <v>0</v>
      </c>
      <c r="X173" s="31">
        <v>0</v>
      </c>
      <c r="Y173" s="31">
        <v>0</v>
      </c>
      <c r="Z173" s="31">
        <v>0</v>
      </c>
      <c r="AA173" s="31">
        <v>0</v>
      </c>
      <c r="AB173" s="31">
        <v>0</v>
      </c>
      <c r="AC173" s="31">
        <f>ROUND(N173*1.5%,2)</f>
        <v>23240.28</v>
      </c>
      <c r="AD173" s="31">
        <v>0</v>
      </c>
      <c r="AE173" s="31">
        <v>0</v>
      </c>
      <c r="AF173" s="34" t="s">
        <v>274</v>
      </c>
      <c r="AG173" s="34">
        <v>2020</v>
      </c>
      <c r="AH173" s="35">
        <v>2020</v>
      </c>
      <c r="BZ173" s="71"/>
      <c r="CD173" s="20">
        <f t="shared" si="14"/>
        <v>331</v>
      </c>
      <c r="CE173" s="178" t="s">
        <v>0</v>
      </c>
      <c r="CF173" s="178">
        <v>618.1</v>
      </c>
    </row>
    <row r="174" spans="1:84" ht="61.5" x14ac:dyDescent="0.85">
      <c r="A174" s="20">
        <v>1</v>
      </c>
      <c r="B174" s="66">
        <f>SUBTOTAL(103,$A$22:A174)</f>
        <v>151</v>
      </c>
      <c r="C174" s="24" t="s">
        <v>1182</v>
      </c>
      <c r="D174" s="31">
        <f t="shared" si="17"/>
        <v>2050106.0299999998</v>
      </c>
      <c r="E174" s="31">
        <v>0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3">
        <v>0</v>
      </c>
      <c r="L174" s="31">
        <v>0</v>
      </c>
      <c r="M174" s="31">
        <v>0</v>
      </c>
      <c r="N174" s="31">
        <v>0</v>
      </c>
      <c r="O174" s="31">
        <v>0</v>
      </c>
      <c r="P174" s="31">
        <v>0</v>
      </c>
      <c r="Q174" s="31">
        <v>1171</v>
      </c>
      <c r="R174" s="31">
        <v>2019808.9</v>
      </c>
      <c r="S174" s="31">
        <v>0</v>
      </c>
      <c r="T174" s="31">
        <v>0</v>
      </c>
      <c r="U174" s="31">
        <v>0</v>
      </c>
      <c r="V174" s="31">
        <v>0</v>
      </c>
      <c r="W174" s="31">
        <v>0</v>
      </c>
      <c r="X174" s="31">
        <v>0</v>
      </c>
      <c r="Y174" s="31">
        <v>0</v>
      </c>
      <c r="Z174" s="31">
        <v>0</v>
      </c>
      <c r="AA174" s="31">
        <v>0</v>
      </c>
      <c r="AB174" s="31">
        <v>0</v>
      </c>
      <c r="AC174" s="31">
        <f>ROUND(R174*1.5%,2)</f>
        <v>30297.13</v>
      </c>
      <c r="AD174" s="31">
        <v>0</v>
      </c>
      <c r="AE174" s="31">
        <v>0</v>
      </c>
      <c r="AF174" s="34" t="s">
        <v>274</v>
      </c>
      <c r="AG174" s="34">
        <v>2020</v>
      </c>
      <c r="AH174" s="35">
        <v>2020</v>
      </c>
      <c r="BZ174" s="71"/>
      <c r="CD174" s="20" t="e">
        <f t="shared" si="14"/>
        <v>#N/A</v>
      </c>
      <c r="CE174" s="178" t="s">
        <v>1260</v>
      </c>
      <c r="CF174" s="178">
        <v>542.66</v>
      </c>
    </row>
    <row r="175" spans="1:84" ht="61.5" x14ac:dyDescent="0.85">
      <c r="A175" s="20">
        <v>1</v>
      </c>
      <c r="B175" s="66">
        <f>SUBTOTAL(103,$A$22:A175)</f>
        <v>152</v>
      </c>
      <c r="C175" s="24" t="s">
        <v>1183</v>
      </c>
      <c r="D175" s="31">
        <f t="shared" si="17"/>
        <v>2712861.94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3">
        <v>2</v>
      </c>
      <c r="L175" s="31">
        <v>2712861.94</v>
      </c>
      <c r="M175" s="31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31">
        <v>0</v>
      </c>
      <c r="T175" s="31">
        <v>0</v>
      </c>
      <c r="U175" s="31">
        <v>0</v>
      </c>
      <c r="V175" s="31">
        <v>0</v>
      </c>
      <c r="W175" s="31">
        <v>0</v>
      </c>
      <c r="X175" s="31">
        <v>0</v>
      </c>
      <c r="Y175" s="31">
        <v>0</v>
      </c>
      <c r="Z175" s="31">
        <v>0</v>
      </c>
      <c r="AA175" s="31">
        <v>0</v>
      </c>
      <c r="AB175" s="31">
        <v>0</v>
      </c>
      <c r="AC175" s="31">
        <v>0</v>
      </c>
      <c r="AD175" s="31">
        <v>0</v>
      </c>
      <c r="AE175" s="31">
        <v>0</v>
      </c>
      <c r="AF175" s="34" t="s">
        <v>274</v>
      </c>
      <c r="AG175" s="34">
        <v>2020</v>
      </c>
      <c r="AH175" s="35" t="s">
        <v>274</v>
      </c>
      <c r="BZ175" s="71"/>
      <c r="CD175" s="20" t="e">
        <f t="shared" si="14"/>
        <v>#N/A</v>
      </c>
      <c r="CE175" s="178" t="s">
        <v>1267</v>
      </c>
      <c r="CF175" s="178">
        <v>807.4</v>
      </c>
    </row>
    <row r="176" spans="1:84" ht="61.5" x14ac:dyDescent="0.85">
      <c r="A176" s="20">
        <v>1</v>
      </c>
      <c r="B176" s="66">
        <f>SUBTOTAL(103,$A$22:A176)</f>
        <v>153</v>
      </c>
      <c r="C176" s="24" t="s">
        <v>1184</v>
      </c>
      <c r="D176" s="31">
        <f t="shared" si="17"/>
        <v>211998.06</v>
      </c>
      <c r="E176" s="31">
        <v>0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3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31">
        <v>18.7</v>
      </c>
      <c r="T176" s="31">
        <v>208865.08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1">
        <v>0</v>
      </c>
      <c r="AA176" s="31">
        <v>0</v>
      </c>
      <c r="AB176" s="31">
        <v>0</v>
      </c>
      <c r="AC176" s="31">
        <f>ROUND(T176*1.5%,2)</f>
        <v>3132.98</v>
      </c>
      <c r="AD176" s="31">
        <v>0</v>
      </c>
      <c r="AE176" s="31">
        <v>0</v>
      </c>
      <c r="AF176" s="34" t="s">
        <v>274</v>
      </c>
      <c r="AG176" s="34">
        <v>2020</v>
      </c>
      <c r="AH176" s="35">
        <v>2020</v>
      </c>
      <c r="BZ176" s="71"/>
      <c r="CD176" s="20" t="e">
        <f t="shared" si="14"/>
        <v>#N/A</v>
      </c>
      <c r="CE176" s="178" t="s">
        <v>1603</v>
      </c>
      <c r="CF176" s="178">
        <v>837.3</v>
      </c>
    </row>
    <row r="177" spans="1:84" ht="61.5" x14ac:dyDescent="0.85">
      <c r="A177" s="20">
        <v>1</v>
      </c>
      <c r="B177" s="66">
        <f>SUBTOTAL(103,$A$22:A177)</f>
        <v>154</v>
      </c>
      <c r="C177" s="24" t="s">
        <v>1185</v>
      </c>
      <c r="D177" s="31">
        <f t="shared" si="17"/>
        <v>2878164.01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3">
        <v>0</v>
      </c>
      <c r="L177" s="31">
        <v>0</v>
      </c>
      <c r="M177" s="31">
        <v>0</v>
      </c>
      <c r="N177" s="31">
        <v>0</v>
      </c>
      <c r="O177" s="31">
        <v>943</v>
      </c>
      <c r="P177" s="31">
        <v>2835629.57</v>
      </c>
      <c r="Q177" s="31">
        <v>0</v>
      </c>
      <c r="R177" s="31">
        <v>0</v>
      </c>
      <c r="S177" s="31">
        <v>0</v>
      </c>
      <c r="T177" s="31">
        <v>0</v>
      </c>
      <c r="U177" s="31">
        <v>0</v>
      </c>
      <c r="V177" s="31">
        <v>0</v>
      </c>
      <c r="W177" s="31">
        <v>0</v>
      </c>
      <c r="X177" s="31">
        <v>0</v>
      </c>
      <c r="Y177" s="31">
        <v>0</v>
      </c>
      <c r="Z177" s="31">
        <v>0</v>
      </c>
      <c r="AA177" s="31">
        <v>0</v>
      </c>
      <c r="AB177" s="31">
        <v>0</v>
      </c>
      <c r="AC177" s="31">
        <f>ROUND(P177*1.5%,2)</f>
        <v>42534.44</v>
      </c>
      <c r="AD177" s="31">
        <v>0</v>
      </c>
      <c r="AE177" s="31">
        <v>0</v>
      </c>
      <c r="AF177" s="34" t="s">
        <v>274</v>
      </c>
      <c r="AG177" s="34">
        <v>2020</v>
      </c>
      <c r="AH177" s="35">
        <v>2020</v>
      </c>
      <c r="BZ177" s="71"/>
      <c r="CD177" s="20" t="e">
        <f t="shared" si="14"/>
        <v>#N/A</v>
      </c>
      <c r="CE177" s="178" t="s">
        <v>145</v>
      </c>
      <c r="CF177" s="178">
        <v>317.8</v>
      </c>
    </row>
    <row r="178" spans="1:84" ht="61.5" x14ac:dyDescent="0.85">
      <c r="A178" s="20">
        <v>1</v>
      </c>
      <c r="B178" s="66">
        <f>SUBTOTAL(103,$A$22:A178)</f>
        <v>155</v>
      </c>
      <c r="C178" s="24" t="s">
        <v>1186</v>
      </c>
      <c r="D178" s="31">
        <f t="shared" si="17"/>
        <v>2712861.94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3">
        <v>2</v>
      </c>
      <c r="L178" s="31">
        <v>2712861.94</v>
      </c>
      <c r="M178" s="31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  <c r="AC178" s="31">
        <v>0</v>
      </c>
      <c r="AD178" s="31">
        <v>0</v>
      </c>
      <c r="AE178" s="31">
        <v>0</v>
      </c>
      <c r="AF178" s="34" t="s">
        <v>274</v>
      </c>
      <c r="AG178" s="34">
        <v>2020</v>
      </c>
      <c r="AH178" s="35" t="s">
        <v>274</v>
      </c>
      <c r="BZ178" s="71"/>
      <c r="CD178" s="20" t="e">
        <f t="shared" si="14"/>
        <v>#N/A</v>
      </c>
      <c r="CE178" s="178" t="s">
        <v>1290</v>
      </c>
      <c r="CF178" s="178">
        <v>835.43</v>
      </c>
    </row>
    <row r="179" spans="1:84" ht="61.5" x14ac:dyDescent="0.85">
      <c r="A179" s="20">
        <v>1</v>
      </c>
      <c r="B179" s="66">
        <f>SUBTOTAL(103,$A$22:A179)</f>
        <v>156</v>
      </c>
      <c r="C179" s="24" t="s">
        <v>1187</v>
      </c>
      <c r="D179" s="31">
        <f t="shared" si="17"/>
        <v>3186819.12</v>
      </c>
      <c r="E179" s="31">
        <v>0</v>
      </c>
      <c r="F179" s="31">
        <v>0</v>
      </c>
      <c r="G179" s="31">
        <v>3139723.27</v>
      </c>
      <c r="H179" s="31">
        <v>0</v>
      </c>
      <c r="I179" s="31">
        <v>0</v>
      </c>
      <c r="J179" s="31">
        <v>0</v>
      </c>
      <c r="K179" s="33">
        <v>0</v>
      </c>
      <c r="L179" s="31">
        <v>0</v>
      </c>
      <c r="M179" s="31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  <c r="AC179" s="31">
        <f>ROUND((E179+F179+G179+H179+I179+J179)*1.5%,2)</f>
        <v>47095.85</v>
      </c>
      <c r="AD179" s="31">
        <v>0</v>
      </c>
      <c r="AE179" s="31">
        <v>0</v>
      </c>
      <c r="AF179" s="34" t="s">
        <v>274</v>
      </c>
      <c r="AG179" s="34">
        <v>2020</v>
      </c>
      <c r="AH179" s="35">
        <v>2020</v>
      </c>
      <c r="BZ179" s="71"/>
      <c r="CD179" s="20" t="e">
        <f t="shared" si="14"/>
        <v>#N/A</v>
      </c>
      <c r="CE179" s="178" t="s">
        <v>92</v>
      </c>
      <c r="CF179" s="178">
        <v>613.20000000000005</v>
      </c>
    </row>
    <row r="180" spans="1:84" ht="61.5" x14ac:dyDescent="0.85">
      <c r="A180" s="20">
        <v>1</v>
      </c>
      <c r="B180" s="66">
        <f>SUBTOTAL(103,$A$22:A180)</f>
        <v>157</v>
      </c>
      <c r="C180" s="24" t="s">
        <v>1188</v>
      </c>
      <c r="D180" s="31">
        <f t="shared" si="17"/>
        <v>2447747.04</v>
      </c>
      <c r="E180" s="31">
        <v>0</v>
      </c>
      <c r="F180" s="31">
        <v>0</v>
      </c>
      <c r="G180" s="31">
        <v>0</v>
      </c>
      <c r="H180" s="31">
        <v>0</v>
      </c>
      <c r="I180" s="31">
        <v>0</v>
      </c>
      <c r="J180" s="31">
        <v>0</v>
      </c>
      <c r="K180" s="33">
        <v>0</v>
      </c>
      <c r="L180" s="31">
        <v>0</v>
      </c>
      <c r="M180" s="31">
        <v>477</v>
      </c>
      <c r="N180" s="31">
        <v>2335762.17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1">
        <v>0</v>
      </c>
      <c r="AA180" s="31">
        <v>0</v>
      </c>
      <c r="AB180" s="31">
        <v>0</v>
      </c>
      <c r="AC180" s="31">
        <f>ROUND(N180*1.5%,2)</f>
        <v>35036.43</v>
      </c>
      <c r="AD180" s="31">
        <v>76948.44</v>
      </c>
      <c r="AE180" s="31">
        <v>0</v>
      </c>
      <c r="AF180" s="34">
        <v>2020</v>
      </c>
      <c r="AG180" s="34">
        <v>2020</v>
      </c>
      <c r="AH180" s="35">
        <v>2020</v>
      </c>
      <c r="BZ180" s="71"/>
      <c r="CD180" s="20" t="e">
        <f t="shared" si="14"/>
        <v>#N/A</v>
      </c>
      <c r="CE180" s="178" t="s">
        <v>461</v>
      </c>
      <c r="CF180" s="178">
        <v>567.62</v>
      </c>
    </row>
    <row r="181" spans="1:84" ht="61.5" x14ac:dyDescent="0.85">
      <c r="A181" s="20">
        <v>1</v>
      </c>
      <c r="B181" s="66">
        <f>SUBTOTAL(103,$A$22:A181)</f>
        <v>158</v>
      </c>
      <c r="C181" s="24" t="s">
        <v>1189</v>
      </c>
      <c r="D181" s="31">
        <f t="shared" si="17"/>
        <v>464475.87</v>
      </c>
      <c r="E181" s="31">
        <v>0</v>
      </c>
      <c r="F181" s="31">
        <v>0</v>
      </c>
      <c r="G181" s="31">
        <v>0</v>
      </c>
      <c r="H181" s="31">
        <v>0</v>
      </c>
      <c r="I181" s="31">
        <v>457611.69</v>
      </c>
      <c r="J181" s="31">
        <v>0</v>
      </c>
      <c r="K181" s="33">
        <v>0</v>
      </c>
      <c r="L181" s="31">
        <v>0</v>
      </c>
      <c r="M181" s="31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>
        <v>0</v>
      </c>
      <c r="T181" s="31">
        <v>0</v>
      </c>
      <c r="U181" s="31">
        <v>0</v>
      </c>
      <c r="V181" s="31">
        <v>0</v>
      </c>
      <c r="W181" s="31">
        <v>0</v>
      </c>
      <c r="X181" s="31">
        <v>0</v>
      </c>
      <c r="Y181" s="31">
        <v>0</v>
      </c>
      <c r="Z181" s="31">
        <v>0</v>
      </c>
      <c r="AA181" s="31">
        <v>0</v>
      </c>
      <c r="AB181" s="31">
        <v>0</v>
      </c>
      <c r="AC181" s="31">
        <f>ROUND((E181+F181+G181+H181+I181+J181)*1.5%,2)</f>
        <v>6864.18</v>
      </c>
      <c r="AD181" s="31">
        <v>0</v>
      </c>
      <c r="AE181" s="31">
        <v>0</v>
      </c>
      <c r="AF181" s="34" t="s">
        <v>274</v>
      </c>
      <c r="AG181" s="34">
        <v>2020</v>
      </c>
      <c r="AH181" s="35">
        <v>2020</v>
      </c>
      <c r="BZ181" s="71"/>
      <c r="CD181" s="20" t="e">
        <f t="shared" si="14"/>
        <v>#N/A</v>
      </c>
      <c r="CE181" s="178" t="s">
        <v>463</v>
      </c>
      <c r="CF181" s="178">
        <v>556.79999999999995</v>
      </c>
    </row>
    <row r="182" spans="1:84" ht="61.5" x14ac:dyDescent="0.85">
      <c r="A182" s="20">
        <v>1</v>
      </c>
      <c r="B182" s="66">
        <f>SUBTOTAL(103,$A$22:A182)</f>
        <v>159</v>
      </c>
      <c r="C182" s="24" t="s">
        <v>1190</v>
      </c>
      <c r="D182" s="31">
        <f t="shared" si="17"/>
        <v>198184.86</v>
      </c>
      <c r="E182" s="31">
        <v>0</v>
      </c>
      <c r="F182" s="31">
        <v>0</v>
      </c>
      <c r="G182" s="31">
        <v>0</v>
      </c>
      <c r="H182" s="31">
        <v>0</v>
      </c>
      <c r="I182" s="31">
        <v>195256.02</v>
      </c>
      <c r="J182" s="31">
        <v>0</v>
      </c>
      <c r="K182" s="33">
        <v>0</v>
      </c>
      <c r="L182" s="31">
        <v>0</v>
      </c>
      <c r="M182" s="31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31">
        <v>0</v>
      </c>
      <c r="T182" s="31">
        <v>0</v>
      </c>
      <c r="U182" s="31">
        <v>0</v>
      </c>
      <c r="V182" s="31">
        <v>0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f>ROUND((E182+F182+G182+H182+I182+J182)*1.5%,2)</f>
        <v>2928.84</v>
      </c>
      <c r="AD182" s="31">
        <v>0</v>
      </c>
      <c r="AE182" s="31">
        <v>0</v>
      </c>
      <c r="AF182" s="34" t="s">
        <v>274</v>
      </c>
      <c r="AG182" s="34">
        <v>2020</v>
      </c>
      <c r="AH182" s="35">
        <v>2020</v>
      </c>
      <c r="BZ182" s="71"/>
      <c r="CD182" s="20" t="e">
        <f t="shared" si="14"/>
        <v>#N/A</v>
      </c>
      <c r="CE182" s="178" t="s">
        <v>698</v>
      </c>
      <c r="CF182" s="178">
        <v>243.96</v>
      </c>
    </row>
    <row r="183" spans="1:84" ht="61.5" x14ac:dyDescent="0.85">
      <c r="A183" s="20">
        <v>1</v>
      </c>
      <c r="B183" s="66">
        <f>SUBTOTAL(103,$A$22:A183)</f>
        <v>160</v>
      </c>
      <c r="C183" s="24" t="s">
        <v>1191</v>
      </c>
      <c r="D183" s="31">
        <f t="shared" si="17"/>
        <v>1640571.49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3">
        <v>1</v>
      </c>
      <c r="L183" s="31">
        <v>1640571.49</v>
      </c>
      <c r="M183" s="31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31">
        <v>0</v>
      </c>
      <c r="T183" s="31">
        <v>0</v>
      </c>
      <c r="U183" s="31">
        <v>0</v>
      </c>
      <c r="V183" s="31">
        <v>0</v>
      </c>
      <c r="W183" s="31">
        <v>0</v>
      </c>
      <c r="X183" s="31">
        <v>0</v>
      </c>
      <c r="Y183" s="31">
        <v>0</v>
      </c>
      <c r="Z183" s="31">
        <v>0</v>
      </c>
      <c r="AA183" s="31">
        <v>0</v>
      </c>
      <c r="AB183" s="31">
        <v>0</v>
      </c>
      <c r="AC183" s="31">
        <v>0</v>
      </c>
      <c r="AD183" s="31">
        <v>0</v>
      </c>
      <c r="AE183" s="31">
        <v>0</v>
      </c>
      <c r="AF183" s="34" t="s">
        <v>274</v>
      </c>
      <c r="AG183" s="34">
        <v>2020</v>
      </c>
      <c r="AH183" s="35" t="s">
        <v>274</v>
      </c>
      <c r="BZ183" s="71"/>
      <c r="CD183" s="20" t="e">
        <f t="shared" si="14"/>
        <v>#N/A</v>
      </c>
      <c r="CE183" s="178" t="s">
        <v>1315</v>
      </c>
      <c r="CF183" s="178">
        <v>958</v>
      </c>
    </row>
    <row r="184" spans="1:84" ht="61.5" x14ac:dyDescent="0.85">
      <c r="A184" s="20">
        <v>1</v>
      </c>
      <c r="B184" s="66">
        <f>SUBTOTAL(103,$A$22:A184)</f>
        <v>161</v>
      </c>
      <c r="C184" s="24" t="s">
        <v>1192</v>
      </c>
      <c r="D184" s="31">
        <f t="shared" si="17"/>
        <v>1784450.96</v>
      </c>
      <c r="E184" s="31">
        <v>0</v>
      </c>
      <c r="F184" s="31">
        <v>0</v>
      </c>
      <c r="G184" s="31">
        <v>0</v>
      </c>
      <c r="H184" s="31">
        <v>0</v>
      </c>
      <c r="I184" s="31">
        <v>0</v>
      </c>
      <c r="J184" s="31">
        <v>0</v>
      </c>
      <c r="K184" s="33">
        <v>1</v>
      </c>
      <c r="L184" s="31">
        <v>1784450.96</v>
      </c>
      <c r="M184" s="31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v>0</v>
      </c>
      <c r="AD184" s="31">
        <v>0</v>
      </c>
      <c r="AE184" s="31">
        <v>0</v>
      </c>
      <c r="AF184" s="34" t="s">
        <v>274</v>
      </c>
      <c r="AG184" s="34">
        <v>2020</v>
      </c>
      <c r="AH184" s="35" t="s">
        <v>274</v>
      </c>
      <c r="BZ184" s="71"/>
      <c r="CD184" s="20" t="e">
        <f t="shared" si="14"/>
        <v>#N/A</v>
      </c>
      <c r="CE184" s="178" t="s">
        <v>189</v>
      </c>
      <c r="CF184" s="178">
        <v>255.2</v>
      </c>
    </row>
    <row r="185" spans="1:84" ht="61.5" x14ac:dyDescent="0.85">
      <c r="A185" s="20">
        <v>1</v>
      </c>
      <c r="B185" s="66">
        <f>SUBTOTAL(103,$A$22:A185)</f>
        <v>162</v>
      </c>
      <c r="C185" s="24" t="s">
        <v>1193</v>
      </c>
      <c r="D185" s="31">
        <f t="shared" si="17"/>
        <v>6364982.3099999996</v>
      </c>
      <c r="E185" s="31">
        <v>0</v>
      </c>
      <c r="F185" s="31">
        <v>0</v>
      </c>
      <c r="G185" s="31">
        <v>0</v>
      </c>
      <c r="H185" s="31">
        <v>0</v>
      </c>
      <c r="I185" s="31">
        <v>0</v>
      </c>
      <c r="J185" s="31">
        <v>0</v>
      </c>
      <c r="K185" s="33">
        <v>4</v>
      </c>
      <c r="L185" s="31">
        <v>6364982.3099999996</v>
      </c>
      <c r="M185" s="31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0</v>
      </c>
      <c r="T185" s="31">
        <v>0</v>
      </c>
      <c r="U185" s="31">
        <v>0</v>
      </c>
      <c r="V185" s="31">
        <v>0</v>
      </c>
      <c r="W185" s="31">
        <v>0</v>
      </c>
      <c r="X185" s="31">
        <v>0</v>
      </c>
      <c r="Y185" s="31">
        <v>0</v>
      </c>
      <c r="Z185" s="31">
        <v>0</v>
      </c>
      <c r="AA185" s="31">
        <v>0</v>
      </c>
      <c r="AB185" s="31">
        <v>0</v>
      </c>
      <c r="AC185" s="31">
        <v>0</v>
      </c>
      <c r="AD185" s="31">
        <v>0</v>
      </c>
      <c r="AE185" s="31">
        <v>0</v>
      </c>
      <c r="AF185" s="34" t="s">
        <v>274</v>
      </c>
      <c r="AG185" s="34">
        <v>2020</v>
      </c>
      <c r="AH185" s="35" t="s">
        <v>274</v>
      </c>
      <c r="BZ185" s="71"/>
      <c r="CD185" s="20" t="e">
        <f t="shared" si="14"/>
        <v>#N/A</v>
      </c>
      <c r="CE185" s="178" t="s">
        <v>136</v>
      </c>
      <c r="CF185" s="178">
        <v>1229.9000000000001</v>
      </c>
    </row>
    <row r="186" spans="1:84" ht="61.5" x14ac:dyDescent="0.85">
      <c r="A186" s="20">
        <v>1</v>
      </c>
      <c r="B186" s="66">
        <f>SUBTOTAL(103,$A$22:A186)</f>
        <v>163</v>
      </c>
      <c r="C186" s="24" t="s">
        <v>1310</v>
      </c>
      <c r="D186" s="31">
        <f t="shared" si="17"/>
        <v>2620013.62</v>
      </c>
      <c r="E186" s="31">
        <v>0</v>
      </c>
      <c r="F186" s="31">
        <v>0</v>
      </c>
      <c r="G186" s="31">
        <v>2581294.21</v>
      </c>
      <c r="H186" s="31">
        <v>0</v>
      </c>
      <c r="I186" s="31">
        <v>0</v>
      </c>
      <c r="J186" s="31">
        <v>0</v>
      </c>
      <c r="K186" s="33">
        <v>0</v>
      </c>
      <c r="L186" s="31">
        <v>0</v>
      </c>
      <c r="M186" s="31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f>ROUND((E186+F186+G186+H186+I186+J186)*1.5%,2)</f>
        <v>38719.410000000003</v>
      </c>
      <c r="AD186" s="31">
        <v>0</v>
      </c>
      <c r="AE186" s="31">
        <v>0</v>
      </c>
      <c r="AF186" s="34" t="s">
        <v>274</v>
      </c>
      <c r="AG186" s="34">
        <v>2020</v>
      </c>
      <c r="AH186" s="35">
        <v>2020</v>
      </c>
      <c r="BZ186" s="71"/>
      <c r="CD186" s="20" t="e">
        <f t="shared" si="14"/>
        <v>#N/A</v>
      </c>
    </row>
    <row r="187" spans="1:84" ht="61.5" x14ac:dyDescent="0.85">
      <c r="A187" s="20">
        <v>1</v>
      </c>
      <c r="B187" s="66">
        <f>SUBTOTAL(103,$A$22:A187)</f>
        <v>164</v>
      </c>
      <c r="C187" s="24" t="s">
        <v>1323</v>
      </c>
      <c r="D187" s="31">
        <f t="shared" si="17"/>
        <v>13429838.609999999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3">
        <v>0</v>
      </c>
      <c r="L187" s="31">
        <v>0</v>
      </c>
      <c r="M187" s="31">
        <v>0</v>
      </c>
      <c r="N187" s="31">
        <v>0</v>
      </c>
      <c r="O187" s="31">
        <v>0</v>
      </c>
      <c r="P187" s="31">
        <v>0</v>
      </c>
      <c r="Q187" s="31">
        <v>2524</v>
      </c>
      <c r="R187" s="31">
        <v>13084284.02</v>
      </c>
      <c r="S187" s="31">
        <v>0</v>
      </c>
      <c r="T187" s="31">
        <v>0</v>
      </c>
      <c r="U187" s="31">
        <v>0</v>
      </c>
      <c r="V187" s="31">
        <v>0</v>
      </c>
      <c r="W187" s="31">
        <v>0</v>
      </c>
      <c r="X187" s="31">
        <v>0</v>
      </c>
      <c r="Y187" s="31">
        <v>0</v>
      </c>
      <c r="Z187" s="31">
        <v>0</v>
      </c>
      <c r="AA187" s="31">
        <v>0</v>
      </c>
      <c r="AB187" s="31">
        <v>0</v>
      </c>
      <c r="AC187" s="31">
        <f>ROUND(R187*1.5%,2)</f>
        <v>196264.26</v>
      </c>
      <c r="AD187" s="31">
        <v>149290.32999999999</v>
      </c>
      <c r="AE187" s="31">
        <v>0</v>
      </c>
      <c r="AF187" s="34">
        <v>2020</v>
      </c>
      <c r="AG187" s="34">
        <v>2020</v>
      </c>
      <c r="AH187" s="35">
        <v>2020</v>
      </c>
      <c r="AI187" s="34">
        <v>2020</v>
      </c>
      <c r="AJ187" s="34">
        <v>2020</v>
      </c>
      <c r="AK187" s="34">
        <v>2020</v>
      </c>
      <c r="AL187" s="34">
        <v>2020</v>
      </c>
      <c r="AM187" s="34">
        <v>2020</v>
      </c>
      <c r="AN187" s="34">
        <v>2020</v>
      </c>
      <c r="AO187" s="34">
        <v>2020</v>
      </c>
      <c r="AP187" s="34">
        <v>2020</v>
      </c>
      <c r="AQ187" s="34">
        <v>2020</v>
      </c>
      <c r="AR187" s="34">
        <v>2020</v>
      </c>
      <c r="AS187" s="34">
        <v>2020</v>
      </c>
      <c r="AT187" s="34">
        <v>2020</v>
      </c>
      <c r="AU187" s="34">
        <v>2020</v>
      </c>
      <c r="AV187" s="34">
        <v>2020</v>
      </c>
      <c r="AW187" s="34">
        <v>2020</v>
      </c>
      <c r="AX187" s="34">
        <v>2020</v>
      </c>
      <c r="AY187" s="34">
        <v>2020</v>
      </c>
      <c r="AZ187" s="34">
        <v>2020</v>
      </c>
      <c r="BA187" s="34">
        <v>2020</v>
      </c>
      <c r="BB187" s="34">
        <v>2020</v>
      </c>
      <c r="BC187" s="34">
        <v>2020</v>
      </c>
      <c r="BD187" s="34">
        <v>2020</v>
      </c>
      <c r="BE187" s="34">
        <v>2020</v>
      </c>
      <c r="BF187" s="34">
        <v>2020</v>
      </c>
      <c r="BG187" s="34">
        <v>2020</v>
      </c>
      <c r="BH187" s="34">
        <v>2020</v>
      </c>
      <c r="BI187" s="34">
        <v>2020</v>
      </c>
      <c r="BJ187" s="34">
        <v>2020</v>
      </c>
      <c r="BK187" s="34">
        <v>2020</v>
      </c>
      <c r="BL187" s="34">
        <v>2020</v>
      </c>
      <c r="BM187" s="34">
        <v>2020</v>
      </c>
      <c r="BN187" s="34">
        <v>2020</v>
      </c>
      <c r="BO187" s="34">
        <v>2020</v>
      </c>
      <c r="BP187" s="34">
        <v>2020</v>
      </c>
      <c r="BQ187" s="34">
        <v>2020</v>
      </c>
      <c r="BR187" s="34">
        <v>2020</v>
      </c>
      <c r="BS187" s="34">
        <v>2020</v>
      </c>
      <c r="BT187" s="34">
        <v>2020</v>
      </c>
      <c r="BU187" s="34">
        <v>2020</v>
      </c>
      <c r="BV187" s="34">
        <v>2020</v>
      </c>
      <c r="BW187" s="34">
        <v>2020</v>
      </c>
      <c r="BZ187" s="71"/>
      <c r="CD187" s="20" t="e">
        <f t="shared" si="14"/>
        <v>#N/A</v>
      </c>
    </row>
    <row r="188" spans="1:84" ht="61.5" x14ac:dyDescent="0.85">
      <c r="A188" s="20">
        <v>1</v>
      </c>
      <c r="B188" s="66">
        <f>SUBTOTAL(103,$A$22:A188)</f>
        <v>165</v>
      </c>
      <c r="C188" s="24" t="s">
        <v>1324</v>
      </c>
      <c r="D188" s="31">
        <f t="shared" si="17"/>
        <v>3225967.09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3">
        <v>0</v>
      </c>
      <c r="L188" s="31">
        <v>0</v>
      </c>
      <c r="M188" s="31">
        <v>590</v>
      </c>
      <c r="N188" s="31">
        <v>3111330.05</v>
      </c>
      <c r="O188" s="31">
        <v>0</v>
      </c>
      <c r="P188" s="31">
        <v>0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1">
        <f t="shared" ref="AC188:AC194" si="18">ROUND(N188*1.5%,2)</f>
        <v>46669.95</v>
      </c>
      <c r="AD188" s="31">
        <v>67967.09</v>
      </c>
      <c r="AE188" s="31">
        <v>0</v>
      </c>
      <c r="AF188" s="34">
        <v>2020</v>
      </c>
      <c r="AG188" s="34">
        <v>2020</v>
      </c>
      <c r="AH188" s="35">
        <v>2020</v>
      </c>
      <c r="BZ188" s="71"/>
      <c r="CD188" s="20" t="e">
        <f t="shared" si="14"/>
        <v>#N/A</v>
      </c>
    </row>
    <row r="189" spans="1:84" ht="61.5" x14ac:dyDescent="0.85">
      <c r="A189" s="20">
        <v>1</v>
      </c>
      <c r="B189" s="66">
        <f>SUBTOTAL(103,$A$22:A189)</f>
        <v>166</v>
      </c>
      <c r="C189" s="24" t="s">
        <v>1325</v>
      </c>
      <c r="D189" s="31">
        <f t="shared" si="17"/>
        <v>3630290.9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3">
        <v>0</v>
      </c>
      <c r="L189" s="31">
        <v>0</v>
      </c>
      <c r="M189" s="31">
        <v>665</v>
      </c>
      <c r="N189" s="31">
        <v>3485221.67</v>
      </c>
      <c r="O189" s="31">
        <v>0</v>
      </c>
      <c r="P189" s="31">
        <v>0</v>
      </c>
      <c r="Q189" s="31">
        <v>0</v>
      </c>
      <c r="R189" s="31">
        <v>0</v>
      </c>
      <c r="S189" s="31">
        <v>0</v>
      </c>
      <c r="T189" s="31">
        <v>0</v>
      </c>
      <c r="U189" s="31">
        <v>0</v>
      </c>
      <c r="V189" s="31">
        <v>0</v>
      </c>
      <c r="W189" s="31">
        <v>0</v>
      </c>
      <c r="X189" s="31">
        <v>0</v>
      </c>
      <c r="Y189" s="31">
        <v>0</v>
      </c>
      <c r="Z189" s="31">
        <v>0</v>
      </c>
      <c r="AA189" s="31">
        <v>0</v>
      </c>
      <c r="AB189" s="31">
        <v>0</v>
      </c>
      <c r="AC189" s="31">
        <f t="shared" si="18"/>
        <v>52278.33</v>
      </c>
      <c r="AD189" s="31">
        <v>92790.9</v>
      </c>
      <c r="AE189" s="31">
        <v>0</v>
      </c>
      <c r="AF189" s="34">
        <v>2020</v>
      </c>
      <c r="AG189" s="34">
        <v>2020</v>
      </c>
      <c r="AH189" s="35">
        <v>2020</v>
      </c>
      <c r="BZ189" s="71"/>
      <c r="CD189" s="20" t="e">
        <f t="shared" si="14"/>
        <v>#N/A</v>
      </c>
    </row>
    <row r="190" spans="1:84" ht="61.5" x14ac:dyDescent="0.85">
      <c r="A190" s="20">
        <v>1</v>
      </c>
      <c r="B190" s="66">
        <f>SUBTOTAL(103,$A$22:A190)</f>
        <v>167</v>
      </c>
      <c r="C190" s="24" t="s">
        <v>1326</v>
      </c>
      <c r="D190" s="31">
        <f t="shared" si="17"/>
        <v>1304313.1599999999</v>
      </c>
      <c r="E190" s="31">
        <v>0</v>
      </c>
      <c r="F190" s="31">
        <v>0</v>
      </c>
      <c r="G190" s="31">
        <v>0</v>
      </c>
      <c r="H190" s="31">
        <v>0</v>
      </c>
      <c r="I190" s="31">
        <v>0</v>
      </c>
      <c r="J190" s="31">
        <v>0</v>
      </c>
      <c r="K190" s="33">
        <v>0</v>
      </c>
      <c r="L190" s="31">
        <v>0</v>
      </c>
      <c r="M190" s="31">
        <v>246</v>
      </c>
      <c r="N190" s="31">
        <v>1234482.76</v>
      </c>
      <c r="O190" s="31">
        <v>0</v>
      </c>
      <c r="P190" s="31">
        <v>0</v>
      </c>
      <c r="Q190" s="31">
        <v>0</v>
      </c>
      <c r="R190" s="31">
        <v>0</v>
      </c>
      <c r="S190" s="31">
        <v>0</v>
      </c>
      <c r="T190" s="31">
        <v>0</v>
      </c>
      <c r="U190" s="31">
        <v>0</v>
      </c>
      <c r="V190" s="31">
        <v>0</v>
      </c>
      <c r="W190" s="31">
        <v>0</v>
      </c>
      <c r="X190" s="31">
        <v>0</v>
      </c>
      <c r="Y190" s="31">
        <v>0</v>
      </c>
      <c r="Z190" s="31">
        <v>0</v>
      </c>
      <c r="AA190" s="31">
        <v>0</v>
      </c>
      <c r="AB190" s="31">
        <v>0</v>
      </c>
      <c r="AC190" s="31">
        <f t="shared" si="18"/>
        <v>18517.240000000002</v>
      </c>
      <c r="AD190" s="31">
        <v>51313.16</v>
      </c>
      <c r="AE190" s="31">
        <v>0</v>
      </c>
      <c r="AF190" s="34">
        <v>2020</v>
      </c>
      <c r="AG190" s="34">
        <v>2020</v>
      </c>
      <c r="AH190" s="35">
        <v>2020</v>
      </c>
      <c r="BZ190" s="71"/>
      <c r="CD190" s="20" t="e">
        <f t="shared" si="14"/>
        <v>#N/A</v>
      </c>
    </row>
    <row r="191" spans="1:84" ht="61.5" x14ac:dyDescent="0.85">
      <c r="A191" s="20">
        <v>1</v>
      </c>
      <c r="B191" s="66">
        <f>SUBTOTAL(103,$A$22:A191)</f>
        <v>168</v>
      </c>
      <c r="C191" s="24" t="s">
        <v>1327</v>
      </c>
      <c r="D191" s="31">
        <f t="shared" si="17"/>
        <v>1345217.39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3">
        <v>0</v>
      </c>
      <c r="L191" s="31">
        <v>0</v>
      </c>
      <c r="M191" s="31">
        <v>253</v>
      </c>
      <c r="N191" s="31">
        <v>1272413.79</v>
      </c>
      <c r="O191" s="31">
        <v>0</v>
      </c>
      <c r="P191" s="31">
        <v>0</v>
      </c>
      <c r="Q191" s="31">
        <v>0</v>
      </c>
      <c r="R191" s="31">
        <v>0</v>
      </c>
      <c r="S191" s="31">
        <v>0</v>
      </c>
      <c r="T191" s="31">
        <v>0</v>
      </c>
      <c r="U191" s="31">
        <v>0</v>
      </c>
      <c r="V191" s="31">
        <v>0</v>
      </c>
      <c r="W191" s="31">
        <v>0</v>
      </c>
      <c r="X191" s="31">
        <v>0</v>
      </c>
      <c r="Y191" s="31">
        <v>0</v>
      </c>
      <c r="Z191" s="31">
        <v>0</v>
      </c>
      <c r="AA191" s="31">
        <v>0</v>
      </c>
      <c r="AB191" s="31">
        <v>0</v>
      </c>
      <c r="AC191" s="31">
        <f t="shared" si="18"/>
        <v>19086.21</v>
      </c>
      <c r="AD191" s="31">
        <v>53717.39</v>
      </c>
      <c r="AE191" s="31">
        <v>0</v>
      </c>
      <c r="AF191" s="34">
        <v>2020</v>
      </c>
      <c r="AG191" s="34">
        <v>2020</v>
      </c>
      <c r="AH191" s="35">
        <v>2020</v>
      </c>
      <c r="BZ191" s="71"/>
      <c r="CD191" s="20" t="e">
        <f t="shared" si="14"/>
        <v>#N/A</v>
      </c>
    </row>
    <row r="192" spans="1:84" ht="61.5" x14ac:dyDescent="0.85">
      <c r="A192" s="20">
        <v>1</v>
      </c>
      <c r="B192" s="66">
        <f>SUBTOTAL(103,$A$22:A192)</f>
        <v>169</v>
      </c>
      <c r="C192" s="24" t="s">
        <v>1601</v>
      </c>
      <c r="D192" s="31">
        <f t="shared" si="17"/>
        <v>2365849.39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3">
        <v>0</v>
      </c>
      <c r="L192" s="31">
        <v>0</v>
      </c>
      <c r="M192" s="31">
        <v>792</v>
      </c>
      <c r="N192" s="31">
        <v>2330886.1</v>
      </c>
      <c r="O192" s="31">
        <v>0</v>
      </c>
      <c r="P192" s="31">
        <v>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31">
        <v>0</v>
      </c>
      <c r="W192" s="31">
        <v>0</v>
      </c>
      <c r="X192" s="31">
        <v>0</v>
      </c>
      <c r="Y192" s="31">
        <v>0</v>
      </c>
      <c r="Z192" s="31">
        <v>0</v>
      </c>
      <c r="AA192" s="31">
        <v>0</v>
      </c>
      <c r="AB192" s="31">
        <v>0</v>
      </c>
      <c r="AC192" s="31">
        <f t="shared" si="18"/>
        <v>34963.29</v>
      </c>
      <c r="AD192" s="31">
        <v>0</v>
      </c>
      <c r="AE192" s="31">
        <v>0</v>
      </c>
      <c r="AF192" s="34" t="s">
        <v>274</v>
      </c>
      <c r="AG192" s="34">
        <v>2020</v>
      </c>
      <c r="AH192" s="35">
        <v>2020</v>
      </c>
      <c r="BZ192" s="71"/>
      <c r="CD192" s="20">
        <f t="shared" si="14"/>
        <v>792</v>
      </c>
    </row>
    <row r="193" spans="1:82" ht="61.5" x14ac:dyDescent="0.85">
      <c r="A193" s="20">
        <v>1</v>
      </c>
      <c r="B193" s="66">
        <f>SUBTOTAL(103,$A$22:A193)</f>
        <v>170</v>
      </c>
      <c r="C193" s="24" t="s">
        <v>1613</v>
      </c>
      <c r="D193" s="31">
        <f t="shared" si="17"/>
        <v>2591543.84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3">
        <v>0</v>
      </c>
      <c r="L193" s="31">
        <v>0</v>
      </c>
      <c r="M193" s="31">
        <v>504</v>
      </c>
      <c r="N193" s="31">
        <v>2474667.19</v>
      </c>
      <c r="O193" s="31">
        <v>0</v>
      </c>
      <c r="P193" s="31">
        <v>0</v>
      </c>
      <c r="Q193" s="31">
        <v>0</v>
      </c>
      <c r="R193" s="31">
        <v>0</v>
      </c>
      <c r="S193" s="31">
        <v>0</v>
      </c>
      <c r="T193" s="31">
        <v>0</v>
      </c>
      <c r="U193" s="31">
        <v>0</v>
      </c>
      <c r="V193" s="31">
        <v>0</v>
      </c>
      <c r="W193" s="31">
        <v>0</v>
      </c>
      <c r="X193" s="31">
        <v>0</v>
      </c>
      <c r="Y193" s="31">
        <v>0</v>
      </c>
      <c r="Z193" s="31">
        <v>0</v>
      </c>
      <c r="AA193" s="31">
        <v>0</v>
      </c>
      <c r="AB193" s="31">
        <v>0</v>
      </c>
      <c r="AC193" s="31">
        <f t="shared" si="18"/>
        <v>37120.01</v>
      </c>
      <c r="AD193" s="31">
        <v>79756.639999999999</v>
      </c>
      <c r="AE193" s="31">
        <v>0</v>
      </c>
      <c r="AF193" s="34">
        <v>2020</v>
      </c>
      <c r="AG193" s="34">
        <v>2020</v>
      </c>
      <c r="AH193" s="35">
        <v>2020</v>
      </c>
      <c r="BZ193" s="71"/>
      <c r="CD193" s="20" t="e">
        <f t="shared" si="14"/>
        <v>#N/A</v>
      </c>
    </row>
    <row r="194" spans="1:82" ht="61.5" x14ac:dyDescent="0.85">
      <c r="A194" s="20">
        <v>1</v>
      </c>
      <c r="B194" s="66">
        <f>SUBTOTAL(103,$A$22:A194)</f>
        <v>171</v>
      </c>
      <c r="C194" s="24" t="s">
        <v>1614</v>
      </c>
      <c r="D194" s="31">
        <f t="shared" si="17"/>
        <v>3249938.51</v>
      </c>
      <c r="E194" s="31">
        <v>0</v>
      </c>
      <c r="F194" s="31">
        <v>0</v>
      </c>
      <c r="G194" s="31">
        <v>0</v>
      </c>
      <c r="H194" s="31">
        <v>0</v>
      </c>
      <c r="I194" s="31">
        <v>0</v>
      </c>
      <c r="J194" s="31">
        <v>0</v>
      </c>
      <c r="K194" s="33">
        <v>0</v>
      </c>
      <c r="L194" s="31">
        <v>0</v>
      </c>
      <c r="M194" s="31">
        <v>630</v>
      </c>
      <c r="N194" s="31">
        <v>3114086.93</v>
      </c>
      <c r="O194" s="31">
        <v>0</v>
      </c>
      <c r="P194" s="31">
        <v>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f t="shared" si="18"/>
        <v>46711.3</v>
      </c>
      <c r="AD194" s="31">
        <v>89140.28</v>
      </c>
      <c r="AE194" s="31">
        <v>0</v>
      </c>
      <c r="AF194" s="34">
        <v>2020</v>
      </c>
      <c r="AG194" s="34">
        <v>2020</v>
      </c>
      <c r="AH194" s="35">
        <v>2020</v>
      </c>
      <c r="BZ194" s="71"/>
      <c r="CD194" s="20" t="e">
        <f t="shared" si="14"/>
        <v>#N/A</v>
      </c>
    </row>
    <row r="195" spans="1:82" ht="61.5" x14ac:dyDescent="0.85">
      <c r="A195" s="20">
        <v>1</v>
      </c>
      <c r="B195" s="66">
        <f>SUBTOTAL(103,$A$22:A195)</f>
        <v>172</v>
      </c>
      <c r="C195" s="24" t="s">
        <v>1644</v>
      </c>
      <c r="D195" s="31">
        <f t="shared" si="17"/>
        <v>9971798.8300000001</v>
      </c>
      <c r="E195" s="31">
        <v>0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3">
        <v>0</v>
      </c>
      <c r="L195" s="31">
        <v>0</v>
      </c>
      <c r="M195" s="31">
        <v>826</v>
      </c>
      <c r="N195" s="31">
        <f>2700000-67014.64-3074</f>
        <v>2629911.36</v>
      </c>
      <c r="O195" s="31">
        <v>0</v>
      </c>
      <c r="P195" s="31">
        <v>0</v>
      </c>
      <c r="Q195" s="31">
        <v>0</v>
      </c>
      <c r="R195" s="31">
        <v>0</v>
      </c>
      <c r="S195" s="31">
        <v>375</v>
      </c>
      <c r="T195" s="31">
        <f>6900000</f>
        <v>6900000</v>
      </c>
      <c r="U195" s="31">
        <v>0</v>
      </c>
      <c r="V195" s="31">
        <v>0</v>
      </c>
      <c r="W195" s="31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f>ROUND((N195+T195)*1.5%,2)</f>
        <v>142948.67000000001</v>
      </c>
      <c r="AD195" s="31">
        <v>298938.8</v>
      </c>
      <c r="AE195" s="31">
        <v>0</v>
      </c>
      <c r="AF195" s="34">
        <v>2020</v>
      </c>
      <c r="AG195" s="34">
        <v>2020</v>
      </c>
      <c r="AH195" s="35">
        <v>2020</v>
      </c>
      <c r="BZ195" s="71"/>
      <c r="CD195" s="20" t="e">
        <f t="shared" si="14"/>
        <v>#N/A</v>
      </c>
    </row>
    <row r="196" spans="1:82" ht="61.5" x14ac:dyDescent="0.85">
      <c r="B196" s="24" t="s">
        <v>785</v>
      </c>
      <c r="C196" s="166"/>
      <c r="D196" s="31">
        <f>SUM(D197:D229)</f>
        <v>182923711.81999999</v>
      </c>
      <c r="E196" s="31">
        <f t="shared" ref="E196:AE196" si="19">SUM(E197:E229)</f>
        <v>845974.22</v>
      </c>
      <c r="F196" s="31">
        <f t="shared" si="19"/>
        <v>0</v>
      </c>
      <c r="G196" s="31">
        <f t="shared" si="19"/>
        <v>7605779.9500000011</v>
      </c>
      <c r="H196" s="31">
        <f t="shared" si="19"/>
        <v>1536697.15</v>
      </c>
      <c r="I196" s="31">
        <f t="shared" si="19"/>
        <v>4376732.83</v>
      </c>
      <c r="J196" s="31">
        <f t="shared" si="19"/>
        <v>0</v>
      </c>
      <c r="K196" s="33">
        <f t="shared" si="19"/>
        <v>56</v>
      </c>
      <c r="L196" s="31">
        <f t="shared" si="19"/>
        <v>103662386.65000001</v>
      </c>
      <c r="M196" s="31">
        <f t="shared" si="19"/>
        <v>9117.48</v>
      </c>
      <c r="N196" s="31">
        <f t="shared" si="19"/>
        <v>40783456.829999998</v>
      </c>
      <c r="O196" s="31">
        <f t="shared" si="19"/>
        <v>0</v>
      </c>
      <c r="P196" s="31">
        <f t="shared" si="19"/>
        <v>0</v>
      </c>
      <c r="Q196" s="31">
        <f t="shared" si="19"/>
        <v>5603.69</v>
      </c>
      <c r="R196" s="31">
        <f t="shared" si="19"/>
        <v>21487182.75</v>
      </c>
      <c r="S196" s="31">
        <f t="shared" si="19"/>
        <v>0</v>
      </c>
      <c r="T196" s="31">
        <f t="shared" si="19"/>
        <v>0</v>
      </c>
      <c r="U196" s="31">
        <f t="shared" si="19"/>
        <v>0</v>
      </c>
      <c r="V196" s="31">
        <f t="shared" si="19"/>
        <v>0</v>
      </c>
      <c r="W196" s="31">
        <f t="shared" si="19"/>
        <v>0</v>
      </c>
      <c r="X196" s="31">
        <f t="shared" si="19"/>
        <v>0</v>
      </c>
      <c r="Y196" s="31">
        <f t="shared" si="19"/>
        <v>0</v>
      </c>
      <c r="Z196" s="31">
        <f t="shared" si="19"/>
        <v>0</v>
      </c>
      <c r="AA196" s="31">
        <f t="shared" si="19"/>
        <v>0</v>
      </c>
      <c r="AB196" s="31">
        <f t="shared" si="19"/>
        <v>0</v>
      </c>
      <c r="AC196" s="31">
        <f t="shared" si="19"/>
        <v>1149537.3699999999</v>
      </c>
      <c r="AD196" s="31">
        <f t="shared" si="19"/>
        <v>1115964.0699999998</v>
      </c>
      <c r="AE196" s="31">
        <f t="shared" si="19"/>
        <v>360000</v>
      </c>
      <c r="AF196" s="72" t="s">
        <v>776</v>
      </c>
      <c r="AG196" s="72" t="s">
        <v>776</v>
      </c>
      <c r="AH196" s="89" t="s">
        <v>776</v>
      </c>
      <c r="AT196" s="20" t="e">
        <f t="shared" ref="AT196:AT208" si="20">VLOOKUP(C196,AW:AX,2,FALSE)</f>
        <v>#N/A</v>
      </c>
      <c r="BZ196" s="71">
        <v>182923711.81999996</v>
      </c>
      <c r="CB196" s="71">
        <f>BZ196-D196</f>
        <v>0</v>
      </c>
      <c r="CD196" s="20" t="e">
        <f t="shared" si="14"/>
        <v>#N/A</v>
      </c>
    </row>
    <row r="197" spans="1:82" ht="61.5" x14ac:dyDescent="0.85">
      <c r="A197" s="20">
        <v>1</v>
      </c>
      <c r="B197" s="66">
        <f>SUBTOTAL(103,$A$22:A197)</f>
        <v>173</v>
      </c>
      <c r="C197" s="24" t="s">
        <v>786</v>
      </c>
      <c r="D197" s="31">
        <f t="shared" ref="D197:D229" si="21">E197+F197+G197+H197+I197+J197+L197+N197+P197+R197+T197+U197+V197+W197+X197+Y197+Z197+AA197+AB197+AC197+AD197+AE197</f>
        <v>8096493.6899999995</v>
      </c>
      <c r="E197" s="31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3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1402</v>
      </c>
      <c r="R197" s="31">
        <v>7829901.7899999991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1">
        <v>0</v>
      </c>
      <c r="Y197" s="31">
        <v>0</v>
      </c>
      <c r="Z197" s="31">
        <v>0</v>
      </c>
      <c r="AA197" s="31">
        <v>0</v>
      </c>
      <c r="AB197" s="31">
        <v>0</v>
      </c>
      <c r="AC197" s="31">
        <f>ROUND(R197*1.5%,2)</f>
        <v>117448.53</v>
      </c>
      <c r="AD197" s="31">
        <v>149143.37</v>
      </c>
      <c r="AE197" s="31">
        <v>0</v>
      </c>
      <c r="AF197" s="34">
        <v>2020</v>
      </c>
      <c r="AG197" s="34">
        <v>2020</v>
      </c>
      <c r="AH197" s="35">
        <v>2020</v>
      </c>
      <c r="AT197" s="20" t="e">
        <f t="shared" si="20"/>
        <v>#N/A</v>
      </c>
      <c r="BZ197" s="71"/>
      <c r="CD197" s="20" t="e">
        <f t="shared" si="14"/>
        <v>#N/A</v>
      </c>
    </row>
    <row r="198" spans="1:82" ht="61.5" x14ac:dyDescent="0.85">
      <c r="A198" s="20">
        <v>1</v>
      </c>
      <c r="B198" s="66">
        <f>SUBTOTAL(103,$A$22:A198)</f>
        <v>174</v>
      </c>
      <c r="C198" s="24" t="s">
        <v>787</v>
      </c>
      <c r="D198" s="31">
        <f t="shared" si="21"/>
        <v>2390164.4000000004</v>
      </c>
      <c r="E198" s="31">
        <v>0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3">
        <v>0</v>
      </c>
      <c r="L198" s="31">
        <v>0</v>
      </c>
      <c r="M198" s="31">
        <v>510</v>
      </c>
      <c r="N198" s="31">
        <v>2267010.7400000002</v>
      </c>
      <c r="O198" s="31">
        <v>0</v>
      </c>
      <c r="P198" s="31">
        <v>0</v>
      </c>
      <c r="Q198" s="31">
        <v>0</v>
      </c>
      <c r="R198" s="31">
        <v>0</v>
      </c>
      <c r="S198" s="31">
        <v>0</v>
      </c>
      <c r="T198" s="31">
        <v>0</v>
      </c>
      <c r="U198" s="31">
        <v>0</v>
      </c>
      <c r="V198" s="31">
        <v>0</v>
      </c>
      <c r="W198" s="31">
        <v>0</v>
      </c>
      <c r="X198" s="31">
        <v>0</v>
      </c>
      <c r="Y198" s="31">
        <v>0</v>
      </c>
      <c r="Z198" s="31">
        <v>0</v>
      </c>
      <c r="AA198" s="31">
        <v>0</v>
      </c>
      <c r="AB198" s="31">
        <v>0</v>
      </c>
      <c r="AC198" s="31">
        <f>ROUND(N198*1.5%,2)</f>
        <v>34005.160000000003</v>
      </c>
      <c r="AD198" s="31">
        <v>89148.5</v>
      </c>
      <c r="AE198" s="31">
        <v>0</v>
      </c>
      <c r="AF198" s="34">
        <v>2020</v>
      </c>
      <c r="AG198" s="34">
        <v>2020</v>
      </c>
      <c r="AH198" s="35">
        <v>2020</v>
      </c>
      <c r="AT198" s="20" t="e">
        <f t="shared" si="20"/>
        <v>#N/A</v>
      </c>
      <c r="BZ198" s="71"/>
      <c r="CD198" s="20" t="e">
        <f t="shared" si="14"/>
        <v>#N/A</v>
      </c>
    </row>
    <row r="199" spans="1:82" ht="61.5" x14ac:dyDescent="0.85">
      <c r="A199" s="20">
        <v>1</v>
      </c>
      <c r="B199" s="66">
        <f>SUBTOTAL(103,$A$22:A199)</f>
        <v>175</v>
      </c>
      <c r="C199" s="24" t="s">
        <v>788</v>
      </c>
      <c r="D199" s="31">
        <f t="shared" si="21"/>
        <v>1220001.9200000002</v>
      </c>
      <c r="E199" s="31">
        <v>0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  <c r="K199" s="33">
        <v>0</v>
      </c>
      <c r="L199" s="31">
        <v>0</v>
      </c>
      <c r="M199" s="31">
        <v>265</v>
      </c>
      <c r="N199" s="31">
        <v>1140865.8600000001</v>
      </c>
      <c r="O199" s="31">
        <v>0</v>
      </c>
      <c r="P199" s="31">
        <v>0</v>
      </c>
      <c r="Q199" s="31">
        <v>0</v>
      </c>
      <c r="R199" s="31">
        <v>0</v>
      </c>
      <c r="S199" s="31">
        <v>0</v>
      </c>
      <c r="T199" s="31">
        <v>0</v>
      </c>
      <c r="U199" s="31">
        <v>0</v>
      </c>
      <c r="V199" s="31">
        <v>0</v>
      </c>
      <c r="W199" s="31">
        <v>0</v>
      </c>
      <c r="X199" s="31">
        <v>0</v>
      </c>
      <c r="Y199" s="31">
        <v>0</v>
      </c>
      <c r="Z199" s="31">
        <v>0</v>
      </c>
      <c r="AA199" s="31">
        <v>0</v>
      </c>
      <c r="AB199" s="31">
        <v>0</v>
      </c>
      <c r="AC199" s="31">
        <f>ROUND(N199*1.5%,2)</f>
        <v>17112.990000000002</v>
      </c>
      <c r="AD199" s="31">
        <v>62023.07</v>
      </c>
      <c r="AE199" s="31">
        <v>0</v>
      </c>
      <c r="AF199" s="34">
        <v>2020</v>
      </c>
      <c r="AG199" s="34">
        <v>2020</v>
      </c>
      <c r="AH199" s="35">
        <v>2020</v>
      </c>
      <c r="AT199" s="20" t="e">
        <f t="shared" si="20"/>
        <v>#N/A</v>
      </c>
      <c r="BZ199" s="71"/>
      <c r="CD199" s="20" t="e">
        <f t="shared" si="14"/>
        <v>#N/A</v>
      </c>
    </row>
    <row r="200" spans="1:82" ht="61.5" x14ac:dyDescent="0.85">
      <c r="A200" s="20">
        <v>1</v>
      </c>
      <c r="B200" s="66">
        <f>SUBTOTAL(103,$A$22:A200)</f>
        <v>176</v>
      </c>
      <c r="C200" s="24" t="s">
        <v>789</v>
      </c>
      <c r="D200" s="31">
        <f t="shared" si="21"/>
        <v>6235239.4299999997</v>
      </c>
      <c r="E200" s="31">
        <v>0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3">
        <v>3</v>
      </c>
      <c r="L200" s="31">
        <v>6235239.4299999997</v>
      </c>
      <c r="M200" s="31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  <c r="V200" s="31">
        <v>0</v>
      </c>
      <c r="W200" s="31">
        <v>0</v>
      </c>
      <c r="X200" s="31">
        <v>0</v>
      </c>
      <c r="Y200" s="31">
        <v>0</v>
      </c>
      <c r="Z200" s="31">
        <v>0</v>
      </c>
      <c r="AA200" s="31">
        <v>0</v>
      </c>
      <c r="AB200" s="31">
        <v>0</v>
      </c>
      <c r="AC200" s="31">
        <v>0</v>
      </c>
      <c r="AD200" s="31">
        <v>0</v>
      </c>
      <c r="AE200" s="31">
        <v>0</v>
      </c>
      <c r="AF200" s="34" t="s">
        <v>274</v>
      </c>
      <c r="AG200" s="34">
        <v>2020</v>
      </c>
      <c r="AH200" s="35" t="s">
        <v>274</v>
      </c>
      <c r="AT200" s="20" t="e">
        <f t="shared" si="20"/>
        <v>#N/A</v>
      </c>
      <c r="BZ200" s="71"/>
      <c r="CD200" s="20" t="e">
        <f t="shared" si="14"/>
        <v>#N/A</v>
      </c>
    </row>
    <row r="201" spans="1:82" ht="61.5" x14ac:dyDescent="0.85">
      <c r="A201" s="20">
        <v>1</v>
      </c>
      <c r="B201" s="66">
        <f>SUBTOTAL(103,$A$22:A201)</f>
        <v>177</v>
      </c>
      <c r="C201" s="24" t="s">
        <v>790</v>
      </c>
      <c r="D201" s="31">
        <f t="shared" si="21"/>
        <v>8305636.5700000003</v>
      </c>
      <c r="E201" s="31">
        <v>0</v>
      </c>
      <c r="F201" s="31">
        <v>0</v>
      </c>
      <c r="G201" s="31">
        <v>0</v>
      </c>
      <c r="H201" s="31">
        <v>0</v>
      </c>
      <c r="I201" s="31">
        <v>0</v>
      </c>
      <c r="J201" s="31">
        <v>0</v>
      </c>
      <c r="K201" s="33">
        <v>4</v>
      </c>
      <c r="L201" s="31">
        <v>8305636.5700000003</v>
      </c>
      <c r="M201" s="31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31">
        <v>0</v>
      </c>
      <c r="T201" s="31">
        <v>0</v>
      </c>
      <c r="U201" s="31">
        <v>0</v>
      </c>
      <c r="V201" s="31">
        <v>0</v>
      </c>
      <c r="W201" s="31">
        <v>0</v>
      </c>
      <c r="X201" s="31">
        <v>0</v>
      </c>
      <c r="Y201" s="31">
        <v>0</v>
      </c>
      <c r="Z201" s="31">
        <v>0</v>
      </c>
      <c r="AA201" s="31">
        <v>0</v>
      </c>
      <c r="AB201" s="31">
        <v>0</v>
      </c>
      <c r="AC201" s="31">
        <v>0</v>
      </c>
      <c r="AD201" s="31">
        <v>0</v>
      </c>
      <c r="AE201" s="31">
        <v>0</v>
      </c>
      <c r="AF201" s="34" t="s">
        <v>274</v>
      </c>
      <c r="AG201" s="34">
        <v>2020</v>
      </c>
      <c r="AH201" s="35" t="s">
        <v>274</v>
      </c>
      <c r="AT201" s="20" t="e">
        <f t="shared" si="20"/>
        <v>#N/A</v>
      </c>
      <c r="BZ201" s="71"/>
      <c r="CD201" s="20" t="e">
        <f t="shared" si="14"/>
        <v>#N/A</v>
      </c>
    </row>
    <row r="202" spans="1:82" ht="61.5" x14ac:dyDescent="0.85">
      <c r="A202" s="20">
        <v>1</v>
      </c>
      <c r="B202" s="66">
        <f>SUBTOTAL(103,$A$22:A202)</f>
        <v>178</v>
      </c>
      <c r="C202" s="24" t="s">
        <v>791</v>
      </c>
      <c r="D202" s="31">
        <f t="shared" si="21"/>
        <v>10305814.43</v>
      </c>
      <c r="E202" s="31">
        <v>0</v>
      </c>
      <c r="F202" s="31">
        <v>0</v>
      </c>
      <c r="G202" s="31">
        <v>0</v>
      </c>
      <c r="H202" s="31">
        <v>0</v>
      </c>
      <c r="I202" s="31">
        <v>0</v>
      </c>
      <c r="J202" s="31">
        <v>0</v>
      </c>
      <c r="K202" s="33">
        <v>5</v>
      </c>
      <c r="L202" s="31">
        <v>10305814.43</v>
      </c>
      <c r="M202" s="31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31">
        <v>0</v>
      </c>
      <c r="T202" s="31">
        <v>0</v>
      </c>
      <c r="U202" s="31">
        <v>0</v>
      </c>
      <c r="V202" s="31">
        <v>0</v>
      </c>
      <c r="W202" s="31">
        <v>0</v>
      </c>
      <c r="X202" s="31">
        <v>0</v>
      </c>
      <c r="Y202" s="31">
        <v>0</v>
      </c>
      <c r="Z202" s="31">
        <v>0</v>
      </c>
      <c r="AA202" s="31">
        <v>0</v>
      </c>
      <c r="AB202" s="31">
        <v>0</v>
      </c>
      <c r="AC202" s="31">
        <v>0</v>
      </c>
      <c r="AD202" s="31">
        <v>0</v>
      </c>
      <c r="AE202" s="31">
        <v>0</v>
      </c>
      <c r="AF202" s="34" t="s">
        <v>274</v>
      </c>
      <c r="AG202" s="34">
        <v>2020</v>
      </c>
      <c r="AH202" s="35" t="s">
        <v>274</v>
      </c>
      <c r="AT202" s="20" t="e">
        <f t="shared" si="20"/>
        <v>#N/A</v>
      </c>
      <c r="BZ202" s="71"/>
      <c r="CD202" s="20" t="e">
        <f t="shared" si="14"/>
        <v>#N/A</v>
      </c>
    </row>
    <row r="203" spans="1:82" ht="61.5" x14ac:dyDescent="0.85">
      <c r="A203" s="20">
        <v>1</v>
      </c>
      <c r="B203" s="66">
        <f>SUBTOTAL(103,$A$22:A203)</f>
        <v>179</v>
      </c>
      <c r="C203" s="24" t="s">
        <v>792</v>
      </c>
      <c r="D203" s="31">
        <f t="shared" si="21"/>
        <v>9954095.7100000009</v>
      </c>
      <c r="E203" s="31">
        <v>0</v>
      </c>
      <c r="F203" s="31">
        <v>0</v>
      </c>
      <c r="G203" s="31">
        <v>0</v>
      </c>
      <c r="H203" s="31">
        <v>0</v>
      </c>
      <c r="I203" s="31">
        <v>0</v>
      </c>
      <c r="J203" s="31">
        <v>0</v>
      </c>
      <c r="K203" s="33">
        <v>5</v>
      </c>
      <c r="L203" s="31">
        <v>9954095.7100000009</v>
      </c>
      <c r="M203" s="31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31">
        <v>0</v>
      </c>
      <c r="T203" s="31">
        <v>0</v>
      </c>
      <c r="U203" s="31">
        <v>0</v>
      </c>
      <c r="V203" s="31">
        <v>0</v>
      </c>
      <c r="W203" s="31">
        <v>0</v>
      </c>
      <c r="X203" s="31">
        <v>0</v>
      </c>
      <c r="Y203" s="31">
        <v>0</v>
      </c>
      <c r="Z203" s="31">
        <v>0</v>
      </c>
      <c r="AA203" s="31">
        <v>0</v>
      </c>
      <c r="AB203" s="31">
        <v>0</v>
      </c>
      <c r="AC203" s="31">
        <v>0</v>
      </c>
      <c r="AD203" s="31">
        <v>0</v>
      </c>
      <c r="AE203" s="31">
        <v>0</v>
      </c>
      <c r="AF203" s="34" t="s">
        <v>274</v>
      </c>
      <c r="AG203" s="34">
        <v>2020</v>
      </c>
      <c r="AH203" s="35" t="s">
        <v>274</v>
      </c>
      <c r="AT203" s="20" t="e">
        <f t="shared" si="20"/>
        <v>#N/A</v>
      </c>
      <c r="BZ203" s="71"/>
      <c r="CD203" s="20" t="e">
        <f t="shared" si="14"/>
        <v>#N/A</v>
      </c>
    </row>
    <row r="204" spans="1:82" ht="61.5" x14ac:dyDescent="0.85">
      <c r="A204" s="20">
        <v>1</v>
      </c>
      <c r="B204" s="66">
        <f>SUBTOTAL(103,$A$22:A204)</f>
        <v>180</v>
      </c>
      <c r="C204" s="24" t="s">
        <v>793</v>
      </c>
      <c r="D204" s="31">
        <f t="shared" si="21"/>
        <v>9311263.3400000017</v>
      </c>
      <c r="E204" s="31">
        <v>749597.22</v>
      </c>
      <c r="F204" s="31">
        <v>0</v>
      </c>
      <c r="G204" s="31">
        <f>6632817.44-1050860.34</f>
        <v>5581957.1000000006</v>
      </c>
      <c r="H204" s="31">
        <v>900908.28</v>
      </c>
      <c r="I204" s="31">
        <v>1694890.44</v>
      </c>
      <c r="J204" s="31">
        <v>0</v>
      </c>
      <c r="K204" s="33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f>ROUND((E204+F204+G204+H204+I204+J204)*1.5%,2)</f>
        <v>133910.29999999999</v>
      </c>
      <c r="AD204" s="31">
        <v>250000</v>
      </c>
      <c r="AE204" s="31">
        <v>0</v>
      </c>
      <c r="AF204" s="34">
        <v>2020</v>
      </c>
      <c r="AG204" s="34">
        <v>2020</v>
      </c>
      <c r="AH204" s="35">
        <v>2020</v>
      </c>
      <c r="AT204" s="20" t="e">
        <f t="shared" si="20"/>
        <v>#N/A</v>
      </c>
      <c r="BZ204" s="71"/>
      <c r="CD204" s="20" t="e">
        <f t="shared" si="14"/>
        <v>#N/A</v>
      </c>
    </row>
    <row r="205" spans="1:82" ht="61.5" x14ac:dyDescent="0.85">
      <c r="A205" s="20">
        <v>1</v>
      </c>
      <c r="B205" s="66">
        <f>SUBTOTAL(103,$A$22:A205)</f>
        <v>181</v>
      </c>
      <c r="C205" s="24" t="s">
        <v>794</v>
      </c>
      <c r="D205" s="31">
        <f t="shared" si="21"/>
        <v>3165589.23</v>
      </c>
      <c r="E205" s="31">
        <v>0</v>
      </c>
      <c r="F205" s="31">
        <v>0</v>
      </c>
      <c r="G205" s="31">
        <v>0</v>
      </c>
      <c r="H205" s="31">
        <v>0</v>
      </c>
      <c r="I205" s="31">
        <v>0</v>
      </c>
      <c r="J205" s="31">
        <v>0</v>
      </c>
      <c r="K205" s="33">
        <v>0</v>
      </c>
      <c r="L205" s="31">
        <v>0</v>
      </c>
      <c r="M205" s="31">
        <v>675</v>
      </c>
      <c r="N205" s="31">
        <v>3038705.17</v>
      </c>
      <c r="O205" s="31">
        <v>0</v>
      </c>
      <c r="P205" s="31">
        <v>0</v>
      </c>
      <c r="Q205" s="31">
        <v>0</v>
      </c>
      <c r="R205" s="31">
        <v>0</v>
      </c>
      <c r="S205" s="31">
        <v>0</v>
      </c>
      <c r="T205" s="31">
        <v>0</v>
      </c>
      <c r="U205" s="31">
        <v>0</v>
      </c>
      <c r="V205" s="31">
        <v>0</v>
      </c>
      <c r="W205" s="31">
        <v>0</v>
      </c>
      <c r="X205" s="31">
        <v>0</v>
      </c>
      <c r="Y205" s="31">
        <v>0</v>
      </c>
      <c r="Z205" s="31">
        <v>0</v>
      </c>
      <c r="AA205" s="31">
        <v>0</v>
      </c>
      <c r="AB205" s="31">
        <v>0</v>
      </c>
      <c r="AC205" s="31">
        <f>ROUND(N205*1.5%,2)</f>
        <v>45580.58</v>
      </c>
      <c r="AD205" s="31">
        <v>81303.48</v>
      </c>
      <c r="AE205" s="31">
        <v>0</v>
      </c>
      <c r="AF205" s="34">
        <v>2020</v>
      </c>
      <c r="AG205" s="34">
        <v>2020</v>
      </c>
      <c r="AH205" s="35">
        <v>2020</v>
      </c>
      <c r="AT205" s="20" t="e">
        <f t="shared" si="20"/>
        <v>#N/A</v>
      </c>
      <c r="BZ205" s="71"/>
      <c r="CD205" s="20" t="e">
        <f t="shared" si="14"/>
        <v>#N/A</v>
      </c>
    </row>
    <row r="206" spans="1:82" ht="61.5" x14ac:dyDescent="0.85">
      <c r="A206" s="20">
        <v>1</v>
      </c>
      <c r="B206" s="66">
        <f>SUBTOTAL(103,$A$22:A206)</f>
        <v>182</v>
      </c>
      <c r="C206" s="24" t="s">
        <v>795</v>
      </c>
      <c r="D206" s="31">
        <f t="shared" si="21"/>
        <v>8044895.8899999997</v>
      </c>
      <c r="E206" s="31">
        <v>0</v>
      </c>
      <c r="F206" s="31">
        <v>0</v>
      </c>
      <c r="G206" s="31">
        <v>0</v>
      </c>
      <c r="H206" s="31">
        <v>0</v>
      </c>
      <c r="I206" s="31">
        <v>0</v>
      </c>
      <c r="J206" s="31">
        <v>0</v>
      </c>
      <c r="K206" s="33">
        <v>0</v>
      </c>
      <c r="L206" s="31">
        <v>0</v>
      </c>
      <c r="M206" s="31">
        <v>1319.27</v>
      </c>
      <c r="N206" s="31">
        <v>7812860.0999999996</v>
      </c>
      <c r="O206" s="31">
        <v>0</v>
      </c>
      <c r="P206" s="31">
        <v>0</v>
      </c>
      <c r="Q206" s="31">
        <v>0</v>
      </c>
      <c r="R206" s="31">
        <v>0</v>
      </c>
      <c r="S206" s="31">
        <v>0</v>
      </c>
      <c r="T206" s="31">
        <v>0</v>
      </c>
      <c r="U206" s="31">
        <v>0</v>
      </c>
      <c r="V206" s="31">
        <v>0</v>
      </c>
      <c r="W206" s="31">
        <v>0</v>
      </c>
      <c r="X206" s="31">
        <v>0</v>
      </c>
      <c r="Y206" s="31">
        <v>0</v>
      </c>
      <c r="Z206" s="31">
        <v>0</v>
      </c>
      <c r="AA206" s="31">
        <v>0</v>
      </c>
      <c r="AB206" s="31">
        <v>0</v>
      </c>
      <c r="AC206" s="31">
        <f>ROUND(N206*1.5%,2)</f>
        <v>117192.9</v>
      </c>
      <c r="AD206" s="31">
        <v>114842.89</v>
      </c>
      <c r="AE206" s="31">
        <v>0</v>
      </c>
      <c r="AF206" s="34">
        <v>2020</v>
      </c>
      <c r="AG206" s="34">
        <v>2020</v>
      </c>
      <c r="AH206" s="35">
        <v>2020</v>
      </c>
      <c r="AT206" s="20" t="e">
        <f t="shared" si="20"/>
        <v>#N/A</v>
      </c>
      <c r="BZ206" s="71"/>
      <c r="CD206" s="20">
        <f t="shared" si="14"/>
        <v>1319.27</v>
      </c>
    </row>
    <row r="207" spans="1:82" ht="61.5" x14ac:dyDescent="0.85">
      <c r="A207" s="20">
        <v>1</v>
      </c>
      <c r="B207" s="66">
        <f>SUBTOTAL(103,$A$22:A207)</f>
        <v>183</v>
      </c>
      <c r="C207" s="24" t="s">
        <v>796</v>
      </c>
      <c r="D207" s="31">
        <f t="shared" si="21"/>
        <v>5123354.76</v>
      </c>
      <c r="E207" s="31">
        <v>0</v>
      </c>
      <c r="F207" s="31">
        <v>0</v>
      </c>
      <c r="G207" s="31">
        <v>0</v>
      </c>
      <c r="H207" s="31">
        <v>0</v>
      </c>
      <c r="I207" s="31">
        <v>0</v>
      </c>
      <c r="J207" s="31">
        <v>0</v>
      </c>
      <c r="K207" s="33">
        <v>0</v>
      </c>
      <c r="L207" s="31">
        <v>0</v>
      </c>
      <c r="M207" s="31">
        <v>1080</v>
      </c>
      <c r="N207" s="31">
        <v>4913159.8</v>
      </c>
      <c r="O207" s="31">
        <v>0</v>
      </c>
      <c r="P207" s="31">
        <v>0</v>
      </c>
      <c r="Q207" s="31">
        <v>0</v>
      </c>
      <c r="R207" s="31">
        <v>0</v>
      </c>
      <c r="S207" s="31">
        <v>0</v>
      </c>
      <c r="T207" s="31">
        <v>0</v>
      </c>
      <c r="U207" s="31">
        <v>0</v>
      </c>
      <c r="V207" s="31">
        <v>0</v>
      </c>
      <c r="W207" s="31">
        <v>0</v>
      </c>
      <c r="X207" s="31">
        <v>0</v>
      </c>
      <c r="Y207" s="31">
        <v>0</v>
      </c>
      <c r="Z207" s="31">
        <v>0</v>
      </c>
      <c r="AA207" s="31">
        <v>0</v>
      </c>
      <c r="AB207" s="31">
        <v>0</v>
      </c>
      <c r="AC207" s="31">
        <f>ROUND(N207*1.5%,2)</f>
        <v>73697.399999999994</v>
      </c>
      <c r="AD207" s="31">
        <v>136497.56</v>
      </c>
      <c r="AE207" s="31">
        <v>0</v>
      </c>
      <c r="AF207" s="34">
        <v>2020</v>
      </c>
      <c r="AG207" s="34">
        <v>2020</v>
      </c>
      <c r="AH207" s="35">
        <v>2020</v>
      </c>
      <c r="AT207" s="20" t="e">
        <f t="shared" si="20"/>
        <v>#N/A</v>
      </c>
      <c r="BZ207" s="71"/>
      <c r="CD207" s="20" t="e">
        <f t="shared" si="14"/>
        <v>#N/A</v>
      </c>
    </row>
    <row r="208" spans="1:82" ht="61.5" x14ac:dyDescent="0.85">
      <c r="A208" s="20">
        <v>1</v>
      </c>
      <c r="B208" s="66">
        <f>SUBTOTAL(103,$A$22:A208)</f>
        <v>184</v>
      </c>
      <c r="C208" s="24" t="s">
        <v>797</v>
      </c>
      <c r="D208" s="31">
        <f t="shared" si="21"/>
        <v>8021093.6299999999</v>
      </c>
      <c r="E208" s="31">
        <v>0</v>
      </c>
      <c r="F208" s="31">
        <v>0</v>
      </c>
      <c r="G208" s="31">
        <v>0</v>
      </c>
      <c r="H208" s="31">
        <v>0</v>
      </c>
      <c r="I208" s="31">
        <v>1464542.39</v>
      </c>
      <c r="J208" s="31">
        <v>0</v>
      </c>
      <c r="K208" s="33">
        <v>0</v>
      </c>
      <c r="L208" s="31">
        <v>0</v>
      </c>
      <c r="M208" s="31">
        <v>1375.9</v>
      </c>
      <c r="N208" s="31">
        <f>6051559.71+150000</f>
        <v>6201559.71</v>
      </c>
      <c r="O208" s="31">
        <v>0</v>
      </c>
      <c r="P208" s="31">
        <v>0</v>
      </c>
      <c r="Q208" s="31">
        <v>0</v>
      </c>
      <c r="R208" s="31">
        <v>0</v>
      </c>
      <c r="S208" s="31">
        <v>0</v>
      </c>
      <c r="T208" s="31">
        <v>0</v>
      </c>
      <c r="U208" s="31">
        <v>0</v>
      </c>
      <c r="V208" s="31">
        <v>0</v>
      </c>
      <c r="W208" s="31">
        <v>0</v>
      </c>
      <c r="X208" s="31">
        <v>0</v>
      </c>
      <c r="Y208" s="31">
        <v>0</v>
      </c>
      <c r="Z208" s="31">
        <v>0</v>
      </c>
      <c r="AA208" s="31">
        <v>0</v>
      </c>
      <c r="AB208" s="31">
        <v>0</v>
      </c>
      <c r="AC208" s="31">
        <f>ROUND((N208+I208)*1.5%,2)</f>
        <v>114991.53</v>
      </c>
      <c r="AD208" s="31">
        <v>0</v>
      </c>
      <c r="AE208" s="31">
        <v>240000</v>
      </c>
      <c r="AF208" s="34" t="s">
        <v>274</v>
      </c>
      <c r="AG208" s="34">
        <v>2020</v>
      </c>
      <c r="AH208" s="35">
        <v>2020</v>
      </c>
      <c r="AT208" s="20" t="e">
        <f t="shared" si="20"/>
        <v>#N/A</v>
      </c>
      <c r="BZ208" s="71"/>
      <c r="CD208" s="20">
        <f t="shared" si="14"/>
        <v>1375.9</v>
      </c>
    </row>
    <row r="209" spans="1:82" ht="61.5" x14ac:dyDescent="0.85">
      <c r="A209" s="20">
        <v>1</v>
      </c>
      <c r="B209" s="66">
        <f>SUBTOTAL(103,$A$22:A209)</f>
        <v>185</v>
      </c>
      <c r="C209" s="24" t="s">
        <v>1194</v>
      </c>
      <c r="D209" s="31">
        <f t="shared" si="21"/>
        <v>3853007.0700000003</v>
      </c>
      <c r="E209" s="31">
        <v>0</v>
      </c>
      <c r="F209" s="31">
        <v>0</v>
      </c>
      <c r="G209" s="31">
        <v>0</v>
      </c>
      <c r="H209" s="31">
        <v>0</v>
      </c>
      <c r="I209" s="31">
        <v>0</v>
      </c>
      <c r="J209" s="31">
        <v>0</v>
      </c>
      <c r="K209" s="33">
        <v>0</v>
      </c>
      <c r="L209" s="31">
        <v>0</v>
      </c>
      <c r="M209" s="31">
        <v>0</v>
      </c>
      <c r="N209" s="31">
        <v>0</v>
      </c>
      <c r="O209" s="31">
        <v>0</v>
      </c>
      <c r="P209" s="31">
        <v>0</v>
      </c>
      <c r="Q209" s="31">
        <v>808.48</v>
      </c>
      <c r="R209" s="31">
        <v>3796066.08</v>
      </c>
      <c r="S209" s="31">
        <v>0</v>
      </c>
      <c r="T209" s="31">
        <v>0</v>
      </c>
      <c r="U209" s="31">
        <v>0</v>
      </c>
      <c r="V209" s="31">
        <v>0</v>
      </c>
      <c r="W209" s="31">
        <v>0</v>
      </c>
      <c r="X209" s="31">
        <v>0</v>
      </c>
      <c r="Y209" s="31">
        <v>0</v>
      </c>
      <c r="Z209" s="31">
        <v>0</v>
      </c>
      <c r="AA209" s="31">
        <v>0</v>
      </c>
      <c r="AB209" s="31">
        <v>0</v>
      </c>
      <c r="AC209" s="31">
        <f>ROUND(R209*1.5%,2)</f>
        <v>56940.99</v>
      </c>
      <c r="AD209" s="31">
        <v>0</v>
      </c>
      <c r="AE209" s="31">
        <v>0</v>
      </c>
      <c r="AF209" s="34" t="s">
        <v>274</v>
      </c>
      <c r="AG209" s="34">
        <v>2020</v>
      </c>
      <c r="AH209" s="35">
        <v>2020</v>
      </c>
      <c r="BZ209" s="71"/>
      <c r="CD209" s="20" t="e">
        <f t="shared" si="14"/>
        <v>#N/A</v>
      </c>
    </row>
    <row r="210" spans="1:82" ht="61.5" x14ac:dyDescent="0.85">
      <c r="A210" s="20">
        <v>1</v>
      </c>
      <c r="B210" s="66">
        <f>SUBTOTAL(103,$A$22:A210)</f>
        <v>186</v>
      </c>
      <c r="C210" s="24" t="s">
        <v>1195</v>
      </c>
      <c r="D210" s="31">
        <f t="shared" si="21"/>
        <v>3073982.0300000003</v>
      </c>
      <c r="E210" s="31">
        <v>96377</v>
      </c>
      <c r="F210" s="31">
        <v>0</v>
      </c>
      <c r="G210" s="31">
        <v>2023822.85</v>
      </c>
      <c r="H210" s="31">
        <v>178273.87</v>
      </c>
      <c r="I210" s="31">
        <v>730080</v>
      </c>
      <c r="J210" s="31">
        <v>0</v>
      </c>
      <c r="K210" s="33">
        <v>0</v>
      </c>
      <c r="L210" s="31">
        <v>0</v>
      </c>
      <c r="M210" s="31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31">
        <v>0</v>
      </c>
      <c r="T210" s="31">
        <v>0</v>
      </c>
      <c r="U210" s="31">
        <v>0</v>
      </c>
      <c r="V210" s="31">
        <v>0</v>
      </c>
      <c r="W210" s="31">
        <v>0</v>
      </c>
      <c r="X210" s="31">
        <v>0</v>
      </c>
      <c r="Y210" s="31">
        <v>0</v>
      </c>
      <c r="Z210" s="31">
        <v>0</v>
      </c>
      <c r="AA210" s="31">
        <v>0</v>
      </c>
      <c r="AB210" s="31">
        <v>0</v>
      </c>
      <c r="AC210" s="31">
        <f>ROUND((E210+F210+G210+H210+I210+J210)*1.5%,2)</f>
        <v>45428.31</v>
      </c>
      <c r="AD210" s="31">
        <v>0</v>
      </c>
      <c r="AE210" s="31">
        <v>0</v>
      </c>
      <c r="AF210" s="34" t="s">
        <v>274</v>
      </c>
      <c r="AG210" s="34">
        <v>2020</v>
      </c>
      <c r="AH210" s="35">
        <v>2020</v>
      </c>
      <c r="BZ210" s="71"/>
      <c r="CD210" s="20" t="e">
        <f t="shared" si="14"/>
        <v>#N/A</v>
      </c>
    </row>
    <row r="211" spans="1:82" ht="61.5" x14ac:dyDescent="0.85">
      <c r="A211" s="20">
        <v>1</v>
      </c>
      <c r="B211" s="66">
        <f>SUBTOTAL(103,$A$22:A211)</f>
        <v>187</v>
      </c>
      <c r="C211" s="24" t="s">
        <v>1196</v>
      </c>
      <c r="D211" s="31">
        <f t="shared" si="21"/>
        <v>5597667.4300000006</v>
      </c>
      <c r="E211" s="31">
        <v>0</v>
      </c>
      <c r="F211" s="31">
        <v>0</v>
      </c>
      <c r="G211" s="31">
        <v>0</v>
      </c>
      <c r="H211" s="31">
        <v>0</v>
      </c>
      <c r="I211" s="31">
        <v>0</v>
      </c>
      <c r="J211" s="31">
        <v>0</v>
      </c>
      <c r="K211" s="33">
        <v>0</v>
      </c>
      <c r="L211" s="31">
        <v>0</v>
      </c>
      <c r="M211" s="31">
        <v>1206.22</v>
      </c>
      <c r="N211" s="31">
        <v>5514943.2800000003</v>
      </c>
      <c r="O211" s="31">
        <v>0</v>
      </c>
      <c r="P211" s="31">
        <v>0</v>
      </c>
      <c r="Q211" s="31">
        <v>0</v>
      </c>
      <c r="R211" s="31">
        <v>0</v>
      </c>
      <c r="S211" s="31">
        <v>0</v>
      </c>
      <c r="T211" s="31">
        <v>0</v>
      </c>
      <c r="U211" s="31">
        <v>0</v>
      </c>
      <c r="V211" s="31">
        <v>0</v>
      </c>
      <c r="W211" s="31">
        <v>0</v>
      </c>
      <c r="X211" s="31">
        <v>0</v>
      </c>
      <c r="Y211" s="31">
        <v>0</v>
      </c>
      <c r="Z211" s="31">
        <v>0</v>
      </c>
      <c r="AA211" s="31">
        <v>0</v>
      </c>
      <c r="AB211" s="31">
        <v>0</v>
      </c>
      <c r="AC211" s="31">
        <f>ROUND(N211*1.5%,2)</f>
        <v>82724.149999999994</v>
      </c>
      <c r="AD211" s="31">
        <v>0</v>
      </c>
      <c r="AE211" s="31">
        <v>0</v>
      </c>
      <c r="AF211" s="34" t="s">
        <v>274</v>
      </c>
      <c r="AG211" s="34">
        <v>2020</v>
      </c>
      <c r="AH211" s="35">
        <v>2020</v>
      </c>
      <c r="BZ211" s="71"/>
      <c r="CD211" s="20">
        <f t="shared" si="14"/>
        <v>1206.22</v>
      </c>
    </row>
    <row r="212" spans="1:82" ht="61.5" x14ac:dyDescent="0.85">
      <c r="A212" s="20">
        <v>1</v>
      </c>
      <c r="B212" s="66">
        <f>SUBTOTAL(103,$A$22:A212)</f>
        <v>188</v>
      </c>
      <c r="C212" s="24" t="s">
        <v>1197</v>
      </c>
      <c r="D212" s="31">
        <f t="shared" si="21"/>
        <v>958906.03</v>
      </c>
      <c r="E212" s="31">
        <v>0</v>
      </c>
      <c r="F212" s="31">
        <v>0</v>
      </c>
      <c r="G212" s="31">
        <v>0</v>
      </c>
      <c r="H212" s="31">
        <v>457515</v>
      </c>
      <c r="I212" s="31">
        <v>487220</v>
      </c>
      <c r="J212" s="31">
        <v>0</v>
      </c>
      <c r="K212" s="33">
        <v>0</v>
      </c>
      <c r="L212" s="31">
        <v>0</v>
      </c>
      <c r="M212" s="31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31">
        <v>0</v>
      </c>
      <c r="T212" s="31">
        <v>0</v>
      </c>
      <c r="U212" s="31">
        <v>0</v>
      </c>
      <c r="V212" s="31">
        <v>0</v>
      </c>
      <c r="W212" s="31">
        <v>0</v>
      </c>
      <c r="X212" s="31">
        <v>0</v>
      </c>
      <c r="Y212" s="31">
        <v>0</v>
      </c>
      <c r="Z212" s="31">
        <v>0</v>
      </c>
      <c r="AA212" s="31">
        <v>0</v>
      </c>
      <c r="AB212" s="31">
        <v>0</v>
      </c>
      <c r="AC212" s="31">
        <f>ROUND((E212+F212+G212+H212+I212+J212)*1.5%,2)</f>
        <v>14171.03</v>
      </c>
      <c r="AD212" s="31">
        <v>0</v>
      </c>
      <c r="AE212" s="31">
        <v>0</v>
      </c>
      <c r="AF212" s="34" t="s">
        <v>274</v>
      </c>
      <c r="AG212" s="34">
        <v>2020</v>
      </c>
      <c r="AH212" s="35">
        <v>2020</v>
      </c>
      <c r="BZ212" s="71"/>
      <c r="CD212" s="20" t="e">
        <f t="shared" si="14"/>
        <v>#N/A</v>
      </c>
    </row>
    <row r="213" spans="1:82" ht="61.5" x14ac:dyDescent="0.85">
      <c r="A213" s="20">
        <v>1</v>
      </c>
      <c r="B213" s="66">
        <f>SUBTOTAL(103,$A$22:A213)</f>
        <v>189</v>
      </c>
      <c r="C213" s="24" t="s">
        <v>1198</v>
      </c>
      <c r="D213" s="31">
        <f t="shared" si="21"/>
        <v>3913221.0100000002</v>
      </c>
      <c r="E213" s="31">
        <v>0</v>
      </c>
      <c r="F213" s="31">
        <v>0</v>
      </c>
      <c r="G213" s="31">
        <v>0</v>
      </c>
      <c r="H213" s="31">
        <v>0</v>
      </c>
      <c r="I213" s="31">
        <v>0</v>
      </c>
      <c r="J213" s="31">
        <v>0</v>
      </c>
      <c r="K213" s="33">
        <v>0</v>
      </c>
      <c r="L213" s="31">
        <v>0</v>
      </c>
      <c r="M213" s="31">
        <v>0</v>
      </c>
      <c r="N213" s="31">
        <v>0</v>
      </c>
      <c r="O213" s="31">
        <v>0</v>
      </c>
      <c r="P213" s="31">
        <v>0</v>
      </c>
      <c r="Q213" s="31">
        <v>2100</v>
      </c>
      <c r="R213" s="31">
        <v>3737163.56</v>
      </c>
      <c r="S213" s="31">
        <v>0</v>
      </c>
      <c r="T213" s="31">
        <v>0</v>
      </c>
      <c r="U213" s="31">
        <v>0</v>
      </c>
      <c r="V213" s="31">
        <v>0</v>
      </c>
      <c r="W213" s="31">
        <v>0</v>
      </c>
      <c r="X213" s="31">
        <v>0</v>
      </c>
      <c r="Y213" s="31">
        <v>0</v>
      </c>
      <c r="Z213" s="31">
        <v>0</v>
      </c>
      <c r="AA213" s="31">
        <v>0</v>
      </c>
      <c r="AB213" s="31">
        <v>0</v>
      </c>
      <c r="AC213" s="31">
        <f>ROUND(R213*1.5%,2)</f>
        <v>56057.45</v>
      </c>
      <c r="AD213" s="31">
        <v>0</v>
      </c>
      <c r="AE213" s="31">
        <v>120000</v>
      </c>
      <c r="AF213" s="34" t="s">
        <v>274</v>
      </c>
      <c r="AG213" s="34">
        <v>2020</v>
      </c>
      <c r="AH213" s="35">
        <v>2020</v>
      </c>
      <c r="BZ213" s="71"/>
      <c r="CD213" s="20" t="e">
        <f t="shared" si="14"/>
        <v>#N/A</v>
      </c>
    </row>
    <row r="214" spans="1:82" ht="61.5" x14ac:dyDescent="0.85">
      <c r="A214" s="20">
        <v>1</v>
      </c>
      <c r="B214" s="66">
        <f>SUBTOTAL(103,$A$22:A214)</f>
        <v>190</v>
      </c>
      <c r="C214" s="24" t="s">
        <v>1199</v>
      </c>
      <c r="D214" s="31">
        <f t="shared" si="21"/>
        <v>3820202.75</v>
      </c>
      <c r="E214" s="31">
        <v>0</v>
      </c>
      <c r="F214" s="31">
        <v>0</v>
      </c>
      <c r="G214" s="31">
        <v>0</v>
      </c>
      <c r="H214" s="31">
        <v>0</v>
      </c>
      <c r="I214" s="31">
        <v>0</v>
      </c>
      <c r="J214" s="31">
        <v>0</v>
      </c>
      <c r="K214" s="33">
        <v>0</v>
      </c>
      <c r="L214" s="31">
        <v>0</v>
      </c>
      <c r="M214" s="31">
        <v>1137.3</v>
      </c>
      <c r="N214" s="31">
        <v>3763746.55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f>ROUND(N214*1.5%,2)</f>
        <v>56456.2</v>
      </c>
      <c r="AD214" s="31">
        <v>0</v>
      </c>
      <c r="AE214" s="31">
        <v>0</v>
      </c>
      <c r="AF214" s="34" t="s">
        <v>274</v>
      </c>
      <c r="AG214" s="34">
        <v>2020</v>
      </c>
      <c r="AH214" s="35">
        <v>2020</v>
      </c>
      <c r="BZ214" s="71"/>
      <c r="CD214" s="20">
        <f t="shared" si="14"/>
        <v>1137.3</v>
      </c>
    </row>
    <row r="215" spans="1:82" ht="61.5" x14ac:dyDescent="0.85">
      <c r="A215" s="20">
        <v>1</v>
      </c>
      <c r="B215" s="66">
        <f>SUBTOTAL(103,$A$22:A215)</f>
        <v>191</v>
      </c>
      <c r="C215" s="24" t="s">
        <v>1200</v>
      </c>
      <c r="D215" s="31">
        <f t="shared" si="21"/>
        <v>1625426.78</v>
      </c>
      <c r="E215" s="31">
        <v>0</v>
      </c>
      <c r="F215" s="31">
        <v>0</v>
      </c>
      <c r="G215" s="31">
        <v>0</v>
      </c>
      <c r="H215" s="31">
        <v>0</v>
      </c>
      <c r="I215" s="31">
        <v>0</v>
      </c>
      <c r="J215" s="31">
        <v>0</v>
      </c>
      <c r="K215" s="33">
        <v>0</v>
      </c>
      <c r="L215" s="31">
        <v>0</v>
      </c>
      <c r="M215" s="31">
        <v>0</v>
      </c>
      <c r="N215" s="31">
        <v>0</v>
      </c>
      <c r="O215" s="31">
        <v>0</v>
      </c>
      <c r="P215" s="31">
        <v>0</v>
      </c>
      <c r="Q215" s="31">
        <v>364.88</v>
      </c>
      <c r="R215" s="31">
        <v>1601405.69</v>
      </c>
      <c r="S215" s="31">
        <v>0</v>
      </c>
      <c r="T215" s="31">
        <v>0</v>
      </c>
      <c r="U215" s="31">
        <v>0</v>
      </c>
      <c r="V215" s="31">
        <v>0</v>
      </c>
      <c r="W215" s="31">
        <v>0</v>
      </c>
      <c r="X215" s="31">
        <v>0</v>
      </c>
      <c r="Y215" s="31">
        <v>0</v>
      </c>
      <c r="Z215" s="31">
        <v>0</v>
      </c>
      <c r="AA215" s="31">
        <v>0</v>
      </c>
      <c r="AB215" s="31">
        <v>0</v>
      </c>
      <c r="AC215" s="31">
        <f>ROUND(R215*1.5%,2)</f>
        <v>24021.09</v>
      </c>
      <c r="AD215" s="31">
        <v>0</v>
      </c>
      <c r="AE215" s="31">
        <v>0</v>
      </c>
      <c r="AF215" s="34" t="s">
        <v>274</v>
      </c>
      <c r="AG215" s="34">
        <v>2020</v>
      </c>
      <c r="AH215" s="35">
        <v>2020</v>
      </c>
      <c r="BZ215" s="71"/>
      <c r="CD215" s="20" t="e">
        <f t="shared" ref="CD215:CD278" si="22">VLOOKUP(C215,CE:CF,2,FALSE)</f>
        <v>#N/A</v>
      </c>
    </row>
    <row r="216" spans="1:82" ht="61.5" x14ac:dyDescent="0.85">
      <c r="A216" s="20">
        <v>1</v>
      </c>
      <c r="B216" s="66">
        <f>SUBTOTAL(103,$A$22:A216)</f>
        <v>192</v>
      </c>
      <c r="C216" s="24" t="s">
        <v>1201</v>
      </c>
      <c r="D216" s="31">
        <f t="shared" si="21"/>
        <v>4419889.76</v>
      </c>
      <c r="E216" s="31">
        <v>0</v>
      </c>
      <c r="F216" s="31">
        <v>0</v>
      </c>
      <c r="G216" s="31">
        <v>0</v>
      </c>
      <c r="H216" s="31">
        <v>0</v>
      </c>
      <c r="I216" s="31">
        <v>0</v>
      </c>
      <c r="J216" s="31">
        <v>0</v>
      </c>
      <c r="K216" s="33">
        <v>3</v>
      </c>
      <c r="L216" s="31">
        <v>4419889.76</v>
      </c>
      <c r="M216" s="31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31">
        <v>0</v>
      </c>
      <c r="T216" s="31">
        <v>0</v>
      </c>
      <c r="U216" s="31">
        <v>0</v>
      </c>
      <c r="V216" s="31">
        <v>0</v>
      </c>
      <c r="W216" s="31">
        <v>0</v>
      </c>
      <c r="X216" s="31">
        <v>0</v>
      </c>
      <c r="Y216" s="31">
        <v>0</v>
      </c>
      <c r="Z216" s="31">
        <v>0</v>
      </c>
      <c r="AA216" s="31">
        <v>0</v>
      </c>
      <c r="AB216" s="31">
        <v>0</v>
      </c>
      <c r="AC216" s="31">
        <v>0</v>
      </c>
      <c r="AD216" s="31">
        <v>0</v>
      </c>
      <c r="AE216" s="31">
        <v>0</v>
      </c>
      <c r="AF216" s="34" t="s">
        <v>274</v>
      </c>
      <c r="AG216" s="34">
        <v>2020</v>
      </c>
      <c r="AH216" s="35" t="s">
        <v>274</v>
      </c>
      <c r="BZ216" s="71"/>
      <c r="CD216" s="20" t="e">
        <f t="shared" si="22"/>
        <v>#N/A</v>
      </c>
    </row>
    <row r="217" spans="1:82" ht="61.5" x14ac:dyDescent="0.85">
      <c r="A217" s="20">
        <v>1</v>
      </c>
      <c r="B217" s="66">
        <f>SUBTOTAL(103,$A$22:A217)</f>
        <v>193</v>
      </c>
      <c r="C217" s="24" t="s">
        <v>1202</v>
      </c>
      <c r="D217" s="31">
        <f t="shared" si="21"/>
        <v>2299678.3200000003</v>
      </c>
      <c r="E217" s="31">
        <v>0</v>
      </c>
      <c r="F217" s="31">
        <v>0</v>
      </c>
      <c r="G217" s="31">
        <v>0</v>
      </c>
      <c r="H217" s="31">
        <v>0</v>
      </c>
      <c r="I217" s="31">
        <v>0</v>
      </c>
      <c r="J217" s="31">
        <v>0</v>
      </c>
      <c r="K217" s="33">
        <v>0</v>
      </c>
      <c r="L217" s="31">
        <v>0</v>
      </c>
      <c r="M217" s="31">
        <v>0</v>
      </c>
      <c r="N217" s="31">
        <v>0</v>
      </c>
      <c r="O217" s="31">
        <v>0</v>
      </c>
      <c r="P217" s="31">
        <v>0</v>
      </c>
      <c r="Q217" s="31">
        <v>519.4</v>
      </c>
      <c r="R217" s="31">
        <v>2265692.9300000002</v>
      </c>
      <c r="S217" s="31">
        <v>0</v>
      </c>
      <c r="T217" s="31">
        <v>0</v>
      </c>
      <c r="U217" s="31">
        <v>0</v>
      </c>
      <c r="V217" s="31">
        <v>0</v>
      </c>
      <c r="W217" s="31">
        <v>0</v>
      </c>
      <c r="X217" s="31">
        <v>0</v>
      </c>
      <c r="Y217" s="31">
        <v>0</v>
      </c>
      <c r="Z217" s="31">
        <v>0</v>
      </c>
      <c r="AA217" s="31">
        <v>0</v>
      </c>
      <c r="AB217" s="31">
        <v>0</v>
      </c>
      <c r="AC217" s="31">
        <f>ROUND(R217*1.5%,2)</f>
        <v>33985.39</v>
      </c>
      <c r="AD217" s="31">
        <v>0</v>
      </c>
      <c r="AE217" s="31">
        <v>0</v>
      </c>
      <c r="AF217" s="34" t="s">
        <v>274</v>
      </c>
      <c r="AG217" s="34">
        <v>2020</v>
      </c>
      <c r="AH217" s="35">
        <v>2020</v>
      </c>
      <c r="BZ217" s="71"/>
      <c r="CD217" s="20" t="e">
        <f t="shared" si="22"/>
        <v>#N/A</v>
      </c>
    </row>
    <row r="218" spans="1:82" ht="61.5" x14ac:dyDescent="0.85">
      <c r="A218" s="20">
        <v>1</v>
      </c>
      <c r="B218" s="66">
        <f>SUBTOTAL(103,$A$22:A218)</f>
        <v>194</v>
      </c>
      <c r="C218" s="24" t="s">
        <v>1203</v>
      </c>
      <c r="D218" s="31">
        <f t="shared" si="21"/>
        <v>2329359.0300000003</v>
      </c>
      <c r="E218" s="31">
        <v>0</v>
      </c>
      <c r="F218" s="31">
        <v>0</v>
      </c>
      <c r="G218" s="31">
        <v>0</v>
      </c>
      <c r="H218" s="31">
        <v>0</v>
      </c>
      <c r="I218" s="31">
        <v>0</v>
      </c>
      <c r="J218" s="31">
        <v>0</v>
      </c>
      <c r="K218" s="33">
        <v>0</v>
      </c>
      <c r="L218" s="31">
        <v>0</v>
      </c>
      <c r="M218" s="31">
        <v>0</v>
      </c>
      <c r="N218" s="31">
        <v>0</v>
      </c>
      <c r="O218" s="31">
        <v>0</v>
      </c>
      <c r="P218" s="31">
        <v>0</v>
      </c>
      <c r="Q218" s="31">
        <v>408.93</v>
      </c>
      <c r="R218" s="31">
        <f>1921347.08+335605.62</f>
        <v>2256952.7000000002</v>
      </c>
      <c r="S218" s="31">
        <v>0</v>
      </c>
      <c r="T218" s="31">
        <v>0</v>
      </c>
      <c r="U218" s="31">
        <v>0</v>
      </c>
      <c r="V218" s="31">
        <v>0</v>
      </c>
      <c r="W218" s="31">
        <v>0</v>
      </c>
      <c r="X218" s="31">
        <v>0</v>
      </c>
      <c r="Y218" s="31">
        <v>0</v>
      </c>
      <c r="Z218" s="31">
        <v>0</v>
      </c>
      <c r="AA218" s="31">
        <v>0</v>
      </c>
      <c r="AB218" s="31">
        <v>0</v>
      </c>
      <c r="AC218" s="31">
        <f>ROUND(R218*1.5%,2)</f>
        <v>33854.29</v>
      </c>
      <c r="AD218" s="31">
        <v>38552.04</v>
      </c>
      <c r="AE218" s="31">
        <v>0</v>
      </c>
      <c r="AF218" s="34">
        <v>2020</v>
      </c>
      <c r="AG218" s="34">
        <v>2020</v>
      </c>
      <c r="AH218" s="35">
        <v>2020</v>
      </c>
      <c r="BZ218" s="71"/>
      <c r="CD218" s="20" t="e">
        <f t="shared" si="22"/>
        <v>#N/A</v>
      </c>
    </row>
    <row r="219" spans="1:82" ht="61.5" x14ac:dyDescent="0.85">
      <c r="A219" s="20">
        <v>1</v>
      </c>
      <c r="B219" s="66">
        <f>SUBTOTAL(103,$A$22:A219)</f>
        <v>195</v>
      </c>
      <c r="C219" s="24" t="s">
        <v>1204</v>
      </c>
      <c r="D219" s="31">
        <f t="shared" si="21"/>
        <v>7889085.5</v>
      </c>
      <c r="E219" s="31">
        <v>0</v>
      </c>
      <c r="F219" s="31">
        <v>0</v>
      </c>
      <c r="G219" s="31">
        <v>0</v>
      </c>
      <c r="H219" s="31">
        <v>0</v>
      </c>
      <c r="I219" s="31">
        <v>0</v>
      </c>
      <c r="J219" s="31">
        <v>0</v>
      </c>
      <c r="K219" s="33">
        <v>4</v>
      </c>
      <c r="L219" s="31">
        <v>7889085.5</v>
      </c>
      <c r="M219" s="31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31">
        <v>0</v>
      </c>
      <c r="T219" s="31">
        <v>0</v>
      </c>
      <c r="U219" s="31">
        <v>0</v>
      </c>
      <c r="V219" s="31">
        <v>0</v>
      </c>
      <c r="W219" s="31">
        <v>0</v>
      </c>
      <c r="X219" s="31">
        <v>0</v>
      </c>
      <c r="Y219" s="31">
        <v>0</v>
      </c>
      <c r="Z219" s="31">
        <v>0</v>
      </c>
      <c r="AA219" s="31">
        <v>0</v>
      </c>
      <c r="AB219" s="31">
        <v>0</v>
      </c>
      <c r="AC219" s="31">
        <v>0</v>
      </c>
      <c r="AD219" s="31">
        <v>0</v>
      </c>
      <c r="AE219" s="31">
        <v>0</v>
      </c>
      <c r="AF219" s="34" t="s">
        <v>274</v>
      </c>
      <c r="AG219" s="34">
        <v>2020</v>
      </c>
      <c r="AH219" s="35" t="s">
        <v>274</v>
      </c>
      <c r="BZ219" s="71"/>
      <c r="CD219" s="20" t="e">
        <f t="shared" si="22"/>
        <v>#N/A</v>
      </c>
    </row>
    <row r="220" spans="1:82" ht="61.5" x14ac:dyDescent="0.85">
      <c r="A220" s="20">
        <v>1</v>
      </c>
      <c r="B220" s="66">
        <f>SUBTOTAL(103,$A$22:A220)</f>
        <v>196</v>
      </c>
      <c r="C220" s="24" t="s">
        <v>1309</v>
      </c>
      <c r="D220" s="31">
        <f t="shared" si="21"/>
        <v>6417017.8600000003</v>
      </c>
      <c r="E220" s="31">
        <v>0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3">
        <v>0</v>
      </c>
      <c r="L220" s="31">
        <v>0</v>
      </c>
      <c r="M220" s="31">
        <v>1548.79</v>
      </c>
      <c r="N220" s="31">
        <f>6669512.32+1022599.21-1561505.91</f>
        <v>6130605.6200000001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0</v>
      </c>
      <c r="U220" s="31">
        <v>0</v>
      </c>
      <c r="V220" s="31">
        <v>0</v>
      </c>
      <c r="W220" s="31">
        <v>0</v>
      </c>
      <c r="X220" s="31">
        <v>0</v>
      </c>
      <c r="Y220" s="31">
        <v>0</v>
      </c>
      <c r="Z220" s="31">
        <v>0</v>
      </c>
      <c r="AA220" s="31">
        <v>0</v>
      </c>
      <c r="AB220" s="31">
        <v>0</v>
      </c>
      <c r="AC220" s="31">
        <f>ROUND(N220*1.5%,2)</f>
        <v>91959.08</v>
      </c>
      <c r="AD220" s="31">
        <v>194453.16</v>
      </c>
      <c r="AE220" s="31">
        <v>0</v>
      </c>
      <c r="AF220" s="34">
        <v>2020</v>
      </c>
      <c r="AG220" s="34">
        <v>2020</v>
      </c>
      <c r="AH220" s="35">
        <v>2020</v>
      </c>
      <c r="BZ220" s="71"/>
      <c r="CD220" s="20" t="e">
        <f t="shared" si="22"/>
        <v>#N/A</v>
      </c>
    </row>
    <row r="221" spans="1:82" ht="61.5" x14ac:dyDescent="0.85">
      <c r="A221" s="20">
        <v>1</v>
      </c>
      <c r="B221" s="66">
        <f>SUBTOTAL(103,$A$22:A221)</f>
        <v>197</v>
      </c>
      <c r="C221" s="24" t="s">
        <v>1401</v>
      </c>
      <c r="D221" s="31">
        <f t="shared" si="21"/>
        <v>15276776.880000001</v>
      </c>
      <c r="E221" s="31">
        <v>0</v>
      </c>
      <c r="F221" s="31">
        <v>0</v>
      </c>
      <c r="G221" s="31">
        <v>0</v>
      </c>
      <c r="H221" s="31">
        <v>0</v>
      </c>
      <c r="I221" s="31">
        <v>0</v>
      </c>
      <c r="J221" s="31">
        <v>0</v>
      </c>
      <c r="K221" s="33">
        <v>9</v>
      </c>
      <c r="L221" s="31">
        <v>15276776.880000001</v>
      </c>
      <c r="M221" s="31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31">
        <v>0</v>
      </c>
      <c r="T221" s="31">
        <v>0</v>
      </c>
      <c r="U221" s="31">
        <v>0</v>
      </c>
      <c r="V221" s="31">
        <v>0</v>
      </c>
      <c r="W221" s="31">
        <v>0</v>
      </c>
      <c r="X221" s="31">
        <v>0</v>
      </c>
      <c r="Y221" s="31">
        <v>0</v>
      </c>
      <c r="Z221" s="31">
        <v>0</v>
      </c>
      <c r="AA221" s="31">
        <v>0</v>
      </c>
      <c r="AB221" s="31">
        <v>0</v>
      </c>
      <c r="AC221" s="31">
        <v>0</v>
      </c>
      <c r="AD221" s="31">
        <v>0</v>
      </c>
      <c r="AE221" s="31">
        <v>0</v>
      </c>
      <c r="AF221" s="34" t="s">
        <v>274</v>
      </c>
      <c r="AG221" s="34">
        <v>2020</v>
      </c>
      <c r="AH221" s="35" t="s">
        <v>274</v>
      </c>
      <c r="BZ221" s="71"/>
      <c r="CD221" s="20" t="e">
        <f t="shared" si="22"/>
        <v>#N/A</v>
      </c>
    </row>
    <row r="222" spans="1:82" ht="61.5" x14ac:dyDescent="0.85">
      <c r="A222" s="20">
        <v>1</v>
      </c>
      <c r="B222" s="66">
        <f>SUBTOTAL(103,$A$22:A222)</f>
        <v>198</v>
      </c>
      <c r="C222" s="24" t="s">
        <v>1417</v>
      </c>
      <c r="D222" s="31">
        <f t="shared" si="21"/>
        <v>5478127.7400000002</v>
      </c>
      <c r="E222" s="31">
        <v>0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  <c r="K222" s="33">
        <v>3</v>
      </c>
      <c r="L222" s="31">
        <v>5478127.7400000002</v>
      </c>
      <c r="M222" s="31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31">
        <v>0</v>
      </c>
      <c r="T222" s="31">
        <v>0</v>
      </c>
      <c r="U222" s="31">
        <v>0</v>
      </c>
      <c r="V222" s="31">
        <v>0</v>
      </c>
      <c r="W222" s="31">
        <v>0</v>
      </c>
      <c r="X222" s="31">
        <v>0</v>
      </c>
      <c r="Y222" s="31">
        <v>0</v>
      </c>
      <c r="Z222" s="31">
        <v>0</v>
      </c>
      <c r="AA222" s="31">
        <v>0</v>
      </c>
      <c r="AB222" s="31">
        <v>0</v>
      </c>
      <c r="AC222" s="31">
        <v>0</v>
      </c>
      <c r="AD222" s="31">
        <v>0</v>
      </c>
      <c r="AE222" s="31">
        <v>0</v>
      </c>
      <c r="AF222" s="34" t="s">
        <v>274</v>
      </c>
      <c r="AG222" s="34">
        <v>2020</v>
      </c>
      <c r="AH222" s="35" t="s">
        <v>274</v>
      </c>
      <c r="BZ222" s="71"/>
      <c r="CD222" s="20" t="e">
        <f t="shared" si="22"/>
        <v>#N/A</v>
      </c>
    </row>
    <row r="223" spans="1:82" ht="61.5" x14ac:dyDescent="0.85">
      <c r="A223" s="20">
        <v>1</v>
      </c>
      <c r="B223" s="66">
        <f>SUBTOTAL(103,$A$22:A223)</f>
        <v>199</v>
      </c>
      <c r="C223" s="24" t="s">
        <v>1418</v>
      </c>
      <c r="D223" s="31">
        <f t="shared" si="21"/>
        <v>7310851.2000000002</v>
      </c>
      <c r="E223" s="31">
        <v>0</v>
      </c>
      <c r="F223" s="31">
        <v>0</v>
      </c>
      <c r="G223" s="31">
        <v>0</v>
      </c>
      <c r="H223" s="31">
        <v>0</v>
      </c>
      <c r="I223" s="31">
        <v>0</v>
      </c>
      <c r="J223" s="31">
        <v>0</v>
      </c>
      <c r="K223" s="33">
        <v>4</v>
      </c>
      <c r="L223" s="31">
        <v>7310851.2000000002</v>
      </c>
      <c r="M223" s="31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31">
        <v>0</v>
      </c>
      <c r="T223" s="31">
        <v>0</v>
      </c>
      <c r="U223" s="31">
        <v>0</v>
      </c>
      <c r="V223" s="31">
        <v>0</v>
      </c>
      <c r="W223" s="31">
        <v>0</v>
      </c>
      <c r="X223" s="31">
        <v>0</v>
      </c>
      <c r="Y223" s="31">
        <v>0</v>
      </c>
      <c r="Z223" s="31">
        <v>0</v>
      </c>
      <c r="AA223" s="31">
        <v>0</v>
      </c>
      <c r="AB223" s="31">
        <v>0</v>
      </c>
      <c r="AC223" s="31">
        <v>0</v>
      </c>
      <c r="AD223" s="31">
        <v>0</v>
      </c>
      <c r="AE223" s="31">
        <v>0</v>
      </c>
      <c r="AF223" s="34" t="s">
        <v>274</v>
      </c>
      <c r="AG223" s="34">
        <v>2020</v>
      </c>
      <c r="AH223" s="35" t="s">
        <v>274</v>
      </c>
      <c r="BZ223" s="71"/>
      <c r="CD223" s="20" t="e">
        <f t="shared" si="22"/>
        <v>#N/A</v>
      </c>
    </row>
    <row r="224" spans="1:82" ht="61.5" x14ac:dyDescent="0.85">
      <c r="A224" s="20">
        <v>1</v>
      </c>
      <c r="B224" s="66">
        <f>SUBTOTAL(103,$A$22:A224)</f>
        <v>200</v>
      </c>
      <c r="C224" s="24" t="s">
        <v>1419</v>
      </c>
      <c r="D224" s="31">
        <f t="shared" si="21"/>
        <v>5327196</v>
      </c>
      <c r="E224" s="31">
        <v>0</v>
      </c>
      <c r="F224" s="31">
        <v>0</v>
      </c>
      <c r="G224" s="31">
        <v>0</v>
      </c>
      <c r="H224" s="31">
        <v>0</v>
      </c>
      <c r="I224" s="31">
        <v>0</v>
      </c>
      <c r="J224" s="31">
        <v>0</v>
      </c>
      <c r="K224" s="33">
        <v>3</v>
      </c>
      <c r="L224" s="31">
        <v>5327196</v>
      </c>
      <c r="M224" s="31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31">
        <v>0</v>
      </c>
      <c r="T224" s="31">
        <v>0</v>
      </c>
      <c r="U224" s="31">
        <v>0</v>
      </c>
      <c r="V224" s="31">
        <v>0</v>
      </c>
      <c r="W224" s="31">
        <v>0</v>
      </c>
      <c r="X224" s="31">
        <v>0</v>
      </c>
      <c r="Y224" s="31">
        <v>0</v>
      </c>
      <c r="Z224" s="31">
        <v>0</v>
      </c>
      <c r="AA224" s="31">
        <v>0</v>
      </c>
      <c r="AB224" s="31">
        <v>0</v>
      </c>
      <c r="AC224" s="31">
        <v>0</v>
      </c>
      <c r="AD224" s="31">
        <v>0</v>
      </c>
      <c r="AE224" s="31">
        <v>0</v>
      </c>
      <c r="AF224" s="34" t="s">
        <v>274</v>
      </c>
      <c r="AG224" s="34">
        <v>2020</v>
      </c>
      <c r="AH224" s="35" t="s">
        <v>274</v>
      </c>
      <c r="BZ224" s="71"/>
      <c r="CD224" s="20" t="e">
        <f t="shared" si="22"/>
        <v>#N/A</v>
      </c>
    </row>
    <row r="225" spans="1:82" ht="61.5" x14ac:dyDescent="0.85">
      <c r="A225" s="20">
        <v>1</v>
      </c>
      <c r="B225" s="66">
        <f>SUBTOTAL(103,$A$22:A225)</f>
        <v>201</v>
      </c>
      <c r="C225" s="24" t="s">
        <v>1420</v>
      </c>
      <c r="D225" s="31">
        <f t="shared" si="21"/>
        <v>7367915.9199999999</v>
      </c>
      <c r="E225" s="31">
        <v>0</v>
      </c>
      <c r="F225" s="31">
        <v>0</v>
      </c>
      <c r="G225" s="31">
        <v>0</v>
      </c>
      <c r="H225" s="31">
        <v>0</v>
      </c>
      <c r="I225" s="31">
        <v>0</v>
      </c>
      <c r="J225" s="31">
        <v>0</v>
      </c>
      <c r="K225" s="33">
        <v>4</v>
      </c>
      <c r="L225" s="31">
        <v>7367915.9199999999</v>
      </c>
      <c r="M225" s="31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31">
        <v>0</v>
      </c>
      <c r="T225" s="31">
        <v>0</v>
      </c>
      <c r="U225" s="31">
        <v>0</v>
      </c>
      <c r="V225" s="31">
        <v>0</v>
      </c>
      <c r="W225" s="31">
        <v>0</v>
      </c>
      <c r="X225" s="31">
        <v>0</v>
      </c>
      <c r="Y225" s="31">
        <v>0</v>
      </c>
      <c r="Z225" s="31">
        <v>0</v>
      </c>
      <c r="AA225" s="31">
        <v>0</v>
      </c>
      <c r="AB225" s="31">
        <v>0</v>
      </c>
      <c r="AC225" s="31">
        <v>0</v>
      </c>
      <c r="AD225" s="31">
        <v>0</v>
      </c>
      <c r="AE225" s="31">
        <v>0</v>
      </c>
      <c r="AF225" s="34" t="s">
        <v>274</v>
      </c>
      <c r="AG225" s="34">
        <v>2020</v>
      </c>
      <c r="AH225" s="35" t="s">
        <v>274</v>
      </c>
      <c r="BZ225" s="71"/>
      <c r="CD225" s="20" t="e">
        <f t="shared" si="22"/>
        <v>#N/A</v>
      </c>
    </row>
    <row r="226" spans="1:82" ht="61.5" x14ac:dyDescent="0.85">
      <c r="A226" s="20">
        <v>1</v>
      </c>
      <c r="B226" s="66">
        <f>SUBTOTAL(103,$A$22:A226)</f>
        <v>202</v>
      </c>
      <c r="C226" s="24" t="s">
        <v>1421</v>
      </c>
      <c r="D226" s="31">
        <f t="shared" si="21"/>
        <v>5462413.6200000001</v>
      </c>
      <c r="E226" s="31">
        <v>0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3">
        <v>3</v>
      </c>
      <c r="L226" s="31">
        <v>5462413.6200000001</v>
      </c>
      <c r="M226" s="31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31">
        <v>0</v>
      </c>
      <c r="T226" s="31">
        <v>0</v>
      </c>
      <c r="U226" s="31">
        <v>0</v>
      </c>
      <c r="V226" s="31">
        <v>0</v>
      </c>
      <c r="W226" s="31">
        <v>0</v>
      </c>
      <c r="X226" s="31">
        <v>0</v>
      </c>
      <c r="Y226" s="31">
        <v>0</v>
      </c>
      <c r="Z226" s="31">
        <v>0</v>
      </c>
      <c r="AA226" s="31">
        <v>0</v>
      </c>
      <c r="AB226" s="31">
        <v>0</v>
      </c>
      <c r="AC226" s="31">
        <v>0</v>
      </c>
      <c r="AD226" s="31">
        <v>0</v>
      </c>
      <c r="AE226" s="31">
        <v>0</v>
      </c>
      <c r="AF226" s="34" t="s">
        <v>274</v>
      </c>
      <c r="AG226" s="34">
        <v>2020</v>
      </c>
      <c r="AH226" s="35" t="s">
        <v>274</v>
      </c>
      <c r="BZ226" s="71"/>
      <c r="CD226" s="20" t="e">
        <f t="shared" si="22"/>
        <v>#N/A</v>
      </c>
    </row>
    <row r="227" spans="1:82" ht="61.5" x14ac:dyDescent="0.85">
      <c r="A227" s="20">
        <v>1</v>
      </c>
      <c r="B227" s="66">
        <f>SUBTOTAL(103,$A$22:A227)</f>
        <v>203</v>
      </c>
      <c r="C227" s="24" t="s">
        <v>1587</v>
      </c>
      <c r="D227" s="31">
        <f t="shared" si="21"/>
        <v>1965007.88</v>
      </c>
      <c r="E227" s="31">
        <v>0</v>
      </c>
      <c r="F227" s="31">
        <v>0</v>
      </c>
      <c r="G227" s="31">
        <v>0</v>
      </c>
      <c r="H227" s="31">
        <v>0</v>
      </c>
      <c r="I227" s="31">
        <v>0</v>
      </c>
      <c r="J227" s="31">
        <v>0</v>
      </c>
      <c r="K227" s="33">
        <v>1</v>
      </c>
      <c r="L227" s="31">
        <v>1965007.88</v>
      </c>
      <c r="M227" s="31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31">
        <v>0</v>
      </c>
      <c r="T227" s="31">
        <v>0</v>
      </c>
      <c r="U227" s="31">
        <v>0</v>
      </c>
      <c r="V227" s="31">
        <v>0</v>
      </c>
      <c r="W227" s="31">
        <v>0</v>
      </c>
      <c r="X227" s="31">
        <v>0</v>
      </c>
      <c r="Y227" s="31">
        <v>0</v>
      </c>
      <c r="Z227" s="31">
        <v>0</v>
      </c>
      <c r="AA227" s="31">
        <v>0</v>
      </c>
      <c r="AB227" s="31">
        <v>0</v>
      </c>
      <c r="AC227" s="31">
        <v>0</v>
      </c>
      <c r="AD227" s="31">
        <v>0</v>
      </c>
      <c r="AE227" s="31">
        <v>0</v>
      </c>
      <c r="AF227" s="34" t="s">
        <v>274</v>
      </c>
      <c r="AG227" s="34">
        <v>2020</v>
      </c>
      <c r="AH227" s="35" t="s">
        <v>274</v>
      </c>
      <c r="BZ227" s="71"/>
      <c r="CD227" s="20" t="e">
        <f t="shared" si="22"/>
        <v>#N/A</v>
      </c>
    </row>
    <row r="228" spans="1:82" ht="61.5" x14ac:dyDescent="0.85">
      <c r="A228" s="20">
        <v>1</v>
      </c>
      <c r="B228" s="66">
        <f>SUBTOTAL(103,$A$22:A228)</f>
        <v>204</v>
      </c>
      <c r="C228" s="24" t="s">
        <v>1588</v>
      </c>
      <c r="D228" s="31">
        <f t="shared" si="21"/>
        <v>3944749.01</v>
      </c>
      <c r="E228" s="31">
        <v>0</v>
      </c>
      <c r="F228" s="31">
        <v>0</v>
      </c>
      <c r="G228" s="31">
        <v>0</v>
      </c>
      <c r="H228" s="31">
        <v>0</v>
      </c>
      <c r="I228" s="31">
        <v>0</v>
      </c>
      <c r="J228" s="31">
        <v>0</v>
      </c>
      <c r="K228" s="33">
        <v>2</v>
      </c>
      <c r="L228" s="31">
        <v>3944749.01</v>
      </c>
      <c r="M228" s="31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31">
        <v>0</v>
      </c>
      <c r="T228" s="31">
        <v>0</v>
      </c>
      <c r="U228" s="31">
        <v>0</v>
      </c>
      <c r="V228" s="31">
        <v>0</v>
      </c>
      <c r="W228" s="31">
        <v>0</v>
      </c>
      <c r="X228" s="31">
        <v>0</v>
      </c>
      <c r="Y228" s="31">
        <v>0</v>
      </c>
      <c r="Z228" s="31">
        <v>0</v>
      </c>
      <c r="AA228" s="31">
        <v>0</v>
      </c>
      <c r="AB228" s="31">
        <v>0</v>
      </c>
      <c r="AC228" s="31">
        <v>0</v>
      </c>
      <c r="AD228" s="31">
        <v>0</v>
      </c>
      <c r="AE228" s="31">
        <v>0</v>
      </c>
      <c r="AF228" s="34" t="s">
        <v>274</v>
      </c>
      <c r="AG228" s="34">
        <v>2020</v>
      </c>
      <c r="AH228" s="35" t="s">
        <v>274</v>
      </c>
      <c r="BZ228" s="71"/>
      <c r="CD228" s="20" t="e">
        <f t="shared" si="22"/>
        <v>#N/A</v>
      </c>
    </row>
    <row r="229" spans="1:82" ht="61.5" x14ac:dyDescent="0.85">
      <c r="A229" s="20">
        <v>1</v>
      </c>
      <c r="B229" s="66">
        <f>SUBTOTAL(103,$A$22:A229)</f>
        <v>205</v>
      </c>
      <c r="C229" s="24" t="s">
        <v>1589</v>
      </c>
      <c r="D229" s="31">
        <f t="shared" si="21"/>
        <v>4419587</v>
      </c>
      <c r="E229" s="31">
        <v>0</v>
      </c>
      <c r="F229" s="31">
        <v>0</v>
      </c>
      <c r="G229" s="31">
        <v>0</v>
      </c>
      <c r="H229" s="31">
        <v>0</v>
      </c>
      <c r="I229" s="31">
        <v>0</v>
      </c>
      <c r="J229" s="31">
        <v>0</v>
      </c>
      <c r="K229" s="33">
        <v>3</v>
      </c>
      <c r="L229" s="31">
        <v>4419587</v>
      </c>
      <c r="M229" s="31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31">
        <v>0</v>
      </c>
      <c r="T229" s="31">
        <v>0</v>
      </c>
      <c r="U229" s="31">
        <v>0</v>
      </c>
      <c r="V229" s="31">
        <v>0</v>
      </c>
      <c r="W229" s="31">
        <v>0</v>
      </c>
      <c r="X229" s="31">
        <v>0</v>
      </c>
      <c r="Y229" s="31">
        <v>0</v>
      </c>
      <c r="Z229" s="31">
        <v>0</v>
      </c>
      <c r="AA229" s="31">
        <v>0</v>
      </c>
      <c r="AB229" s="31">
        <v>0</v>
      </c>
      <c r="AC229" s="31">
        <v>0</v>
      </c>
      <c r="AD229" s="31">
        <v>0</v>
      </c>
      <c r="AE229" s="31">
        <v>0</v>
      </c>
      <c r="AF229" s="34" t="s">
        <v>274</v>
      </c>
      <c r="AG229" s="34">
        <v>2020</v>
      </c>
      <c r="AH229" s="35" t="s">
        <v>274</v>
      </c>
      <c r="BZ229" s="71"/>
      <c r="CD229" s="20" t="e">
        <f t="shared" si="22"/>
        <v>#N/A</v>
      </c>
    </row>
    <row r="230" spans="1:82" ht="61.5" x14ac:dyDescent="0.85">
      <c r="B230" s="24" t="s">
        <v>783</v>
      </c>
      <c r="C230" s="166"/>
      <c r="D230" s="31">
        <f>SUM(D231:D236)</f>
        <v>51784138.459999993</v>
      </c>
      <c r="E230" s="31">
        <f t="shared" ref="E230:AD230" si="23">SUM(E231:E236)</f>
        <v>1086183.55</v>
      </c>
      <c r="F230" s="31">
        <f t="shared" si="23"/>
        <v>2434351.71</v>
      </c>
      <c r="G230" s="31">
        <f t="shared" si="23"/>
        <v>6013370.9299999997</v>
      </c>
      <c r="H230" s="31">
        <f t="shared" si="23"/>
        <v>2064222.35</v>
      </c>
      <c r="I230" s="31">
        <f t="shared" si="23"/>
        <v>4507188.75</v>
      </c>
      <c r="J230" s="31">
        <f t="shared" si="23"/>
        <v>0</v>
      </c>
      <c r="K230" s="33">
        <f t="shared" si="23"/>
        <v>6</v>
      </c>
      <c r="L230" s="31">
        <f t="shared" si="23"/>
        <v>12703637.84</v>
      </c>
      <c r="M230" s="31">
        <f t="shared" si="23"/>
        <v>386.2</v>
      </c>
      <c r="N230" s="31">
        <f t="shared" si="23"/>
        <v>2075284.04</v>
      </c>
      <c r="O230" s="31">
        <f t="shared" si="23"/>
        <v>0</v>
      </c>
      <c r="P230" s="31">
        <f t="shared" si="23"/>
        <v>0</v>
      </c>
      <c r="Q230" s="31">
        <f t="shared" si="23"/>
        <v>11118.4</v>
      </c>
      <c r="R230" s="31">
        <f t="shared" si="23"/>
        <v>19936206.870000001</v>
      </c>
      <c r="S230" s="31">
        <f t="shared" si="23"/>
        <v>0</v>
      </c>
      <c r="T230" s="31">
        <f t="shared" si="23"/>
        <v>0</v>
      </c>
      <c r="U230" s="31">
        <f t="shared" si="23"/>
        <v>0</v>
      </c>
      <c r="V230" s="31">
        <f t="shared" si="23"/>
        <v>0</v>
      </c>
      <c r="W230" s="31">
        <f t="shared" si="23"/>
        <v>0</v>
      </c>
      <c r="X230" s="31">
        <f t="shared" si="23"/>
        <v>0</v>
      </c>
      <c r="Y230" s="31">
        <f t="shared" si="23"/>
        <v>0</v>
      </c>
      <c r="Z230" s="31">
        <f t="shared" si="23"/>
        <v>0</v>
      </c>
      <c r="AA230" s="31">
        <f t="shared" si="23"/>
        <v>0</v>
      </c>
      <c r="AB230" s="31">
        <f t="shared" si="23"/>
        <v>0</v>
      </c>
      <c r="AC230" s="31">
        <f t="shared" si="23"/>
        <v>571752.12</v>
      </c>
      <c r="AD230" s="31">
        <f t="shared" si="23"/>
        <v>391940.30000000005</v>
      </c>
      <c r="AE230" s="31">
        <f>SUM(AE231:AE236)</f>
        <v>0</v>
      </c>
      <c r="AF230" s="72" t="s">
        <v>776</v>
      </c>
      <c r="AG230" s="72" t="s">
        <v>776</v>
      </c>
      <c r="AH230" s="89" t="s">
        <v>776</v>
      </c>
      <c r="AT230" s="20" t="e">
        <f>VLOOKUP(C230,AW:AX,2,FALSE)</f>
        <v>#N/A</v>
      </c>
      <c r="BZ230" s="71">
        <v>51784138.459999993</v>
      </c>
      <c r="CB230" s="71">
        <f>BZ230-D230</f>
        <v>0</v>
      </c>
      <c r="CD230" s="20" t="e">
        <f t="shared" si="22"/>
        <v>#N/A</v>
      </c>
    </row>
    <row r="231" spans="1:82" ht="61.5" x14ac:dyDescent="0.85">
      <c r="A231" s="20">
        <v>1</v>
      </c>
      <c r="B231" s="66">
        <f>SUBTOTAL(103,$A$22:A231)</f>
        <v>206</v>
      </c>
      <c r="C231" s="24" t="s">
        <v>389</v>
      </c>
      <c r="D231" s="31">
        <f t="shared" ref="D231:D236" si="24">E231+F231+G231+H231+I231+J231+L231+N231+P231+R231+T231+U231+V231+W231+X231+Y231+Z231+AA231+AB231+AC231+AD231+AE231</f>
        <v>2106413.2999999998</v>
      </c>
      <c r="E231" s="31">
        <v>0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3">
        <v>0</v>
      </c>
      <c r="L231" s="31">
        <v>0</v>
      </c>
      <c r="M231" s="31">
        <v>386.2</v>
      </c>
      <c r="N231" s="31">
        <f>1912188.44+163095.6</f>
        <v>2075284.04</v>
      </c>
      <c r="O231" s="31">
        <v>0</v>
      </c>
      <c r="P231" s="31">
        <v>0</v>
      </c>
      <c r="Q231" s="31">
        <v>0</v>
      </c>
      <c r="R231" s="31">
        <v>0</v>
      </c>
      <c r="S231" s="31">
        <v>0</v>
      </c>
      <c r="T231" s="31">
        <v>0</v>
      </c>
      <c r="U231" s="31">
        <v>0</v>
      </c>
      <c r="V231" s="31">
        <v>0</v>
      </c>
      <c r="W231" s="31">
        <v>0</v>
      </c>
      <c r="X231" s="31">
        <v>0</v>
      </c>
      <c r="Y231" s="31">
        <v>0</v>
      </c>
      <c r="Z231" s="31">
        <v>0</v>
      </c>
      <c r="AA231" s="31">
        <v>0</v>
      </c>
      <c r="AB231" s="31">
        <v>0</v>
      </c>
      <c r="AC231" s="31">
        <f>ROUND(N231*1.5%,2)</f>
        <v>31129.26</v>
      </c>
      <c r="AD231" s="31">
        <v>0</v>
      </c>
      <c r="AE231" s="31">
        <v>0</v>
      </c>
      <c r="AF231" s="34" t="s">
        <v>274</v>
      </c>
      <c r="AG231" s="34">
        <v>2020</v>
      </c>
      <c r="AH231" s="35">
        <v>2020</v>
      </c>
      <c r="AT231" s="20" t="e">
        <f>VLOOKUP(C231,AW:AX,2,FALSE)</f>
        <v>#N/A</v>
      </c>
      <c r="BZ231" s="71"/>
      <c r="CB231" s="71"/>
      <c r="CD231" s="20">
        <f t="shared" si="22"/>
        <v>386.2</v>
      </c>
    </row>
    <row r="232" spans="1:82" ht="61.5" x14ac:dyDescent="0.85">
      <c r="A232" s="20">
        <v>1</v>
      </c>
      <c r="B232" s="66">
        <f>SUBTOTAL(103,$A$22:A232)</f>
        <v>207</v>
      </c>
      <c r="C232" s="24" t="s">
        <v>390</v>
      </c>
      <c r="D232" s="31">
        <f t="shared" si="24"/>
        <v>6116065.7300000004</v>
      </c>
      <c r="E232" s="31">
        <v>0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3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  <c r="Q232" s="31">
        <v>2522.4</v>
      </c>
      <c r="R232" s="31">
        <v>5832512.3200000003</v>
      </c>
      <c r="S232" s="31">
        <v>0</v>
      </c>
      <c r="T232" s="31">
        <v>0</v>
      </c>
      <c r="U232" s="31">
        <v>0</v>
      </c>
      <c r="V232" s="31">
        <v>0</v>
      </c>
      <c r="W232" s="31">
        <v>0</v>
      </c>
      <c r="X232" s="31">
        <v>0</v>
      </c>
      <c r="Y232" s="31">
        <v>0</v>
      </c>
      <c r="Z232" s="31">
        <v>0</v>
      </c>
      <c r="AA232" s="31">
        <v>0</v>
      </c>
      <c r="AB232" s="31">
        <v>0</v>
      </c>
      <c r="AC232" s="31">
        <f>ROUND(R232*1.5%,2)</f>
        <v>87487.679999999993</v>
      </c>
      <c r="AD232" s="31">
        <v>196065.73</v>
      </c>
      <c r="AE232" s="31">
        <v>0</v>
      </c>
      <c r="AF232" s="34">
        <v>2020</v>
      </c>
      <c r="AG232" s="34">
        <v>2020</v>
      </c>
      <c r="AH232" s="35">
        <v>2020</v>
      </c>
      <c r="AT232" s="20" t="e">
        <f>VLOOKUP(C232,AW:AX,2,FALSE)</f>
        <v>#N/A</v>
      </c>
      <c r="BZ232" s="71"/>
      <c r="CD232" s="20" t="e">
        <f t="shared" si="22"/>
        <v>#N/A</v>
      </c>
    </row>
    <row r="233" spans="1:82" ht="61.5" x14ac:dyDescent="0.85">
      <c r="A233" s="20">
        <v>1</v>
      </c>
      <c r="B233" s="66">
        <f>SUBTOTAL(103,$A$22:A233)</f>
        <v>208</v>
      </c>
      <c r="C233" s="24" t="s">
        <v>391</v>
      </c>
      <c r="D233" s="31">
        <f t="shared" si="24"/>
        <v>14511124.540000001</v>
      </c>
      <c r="E233" s="31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3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  <c r="Q233" s="31">
        <v>8596</v>
      </c>
      <c r="R233" s="31">
        <v>14103694.550000001</v>
      </c>
      <c r="S233" s="31">
        <v>0</v>
      </c>
      <c r="T233" s="31">
        <v>0</v>
      </c>
      <c r="U233" s="31">
        <v>0</v>
      </c>
      <c r="V233" s="31">
        <v>0</v>
      </c>
      <c r="W233" s="31">
        <v>0</v>
      </c>
      <c r="X233" s="31">
        <v>0</v>
      </c>
      <c r="Y233" s="31">
        <v>0</v>
      </c>
      <c r="Z233" s="31">
        <v>0</v>
      </c>
      <c r="AA233" s="31">
        <v>0</v>
      </c>
      <c r="AB233" s="31">
        <v>0</v>
      </c>
      <c r="AC233" s="31">
        <f>ROUND(R233*1.5%,2)</f>
        <v>211555.42</v>
      </c>
      <c r="AD233" s="31">
        <v>195874.57</v>
      </c>
      <c r="AE233" s="31">
        <v>0</v>
      </c>
      <c r="AF233" s="34">
        <v>2020</v>
      </c>
      <c r="AG233" s="34">
        <v>2020</v>
      </c>
      <c r="AH233" s="35">
        <v>2020</v>
      </c>
      <c r="AT233" s="20" t="e">
        <f>VLOOKUP(C233,AW:AX,2,FALSE)</f>
        <v>#N/A</v>
      </c>
      <c r="BZ233" s="71"/>
      <c r="CD233" s="20" t="e">
        <f t="shared" si="22"/>
        <v>#N/A</v>
      </c>
    </row>
    <row r="234" spans="1:82" ht="61.5" x14ac:dyDescent="0.85">
      <c r="A234" s="20">
        <v>1</v>
      </c>
      <c r="B234" s="66">
        <f>SUBTOTAL(103,$A$22:A234)</f>
        <v>209</v>
      </c>
      <c r="C234" s="24" t="s">
        <v>1205</v>
      </c>
      <c r="D234" s="31">
        <f t="shared" si="24"/>
        <v>16346897.049999999</v>
      </c>
      <c r="E234" s="31">
        <v>1086183.55</v>
      </c>
      <c r="F234" s="31">
        <v>2434351.71</v>
      </c>
      <c r="G234" s="31">
        <f>5505401.14+507969.79</f>
        <v>6013370.9299999997</v>
      </c>
      <c r="H234" s="31">
        <v>2064222.35</v>
      </c>
      <c r="I234" s="31">
        <v>4507188.75</v>
      </c>
      <c r="J234" s="31">
        <v>0</v>
      </c>
      <c r="K234" s="33">
        <v>0</v>
      </c>
      <c r="L234" s="31">
        <v>0</v>
      </c>
      <c r="M234" s="31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0</v>
      </c>
      <c r="S234" s="31">
        <v>0</v>
      </c>
      <c r="T234" s="31">
        <v>0</v>
      </c>
      <c r="U234" s="31">
        <v>0</v>
      </c>
      <c r="V234" s="31">
        <v>0</v>
      </c>
      <c r="W234" s="31">
        <v>0</v>
      </c>
      <c r="X234" s="31">
        <v>0</v>
      </c>
      <c r="Y234" s="31">
        <v>0</v>
      </c>
      <c r="Z234" s="31">
        <v>0</v>
      </c>
      <c r="AA234" s="31">
        <v>0</v>
      </c>
      <c r="AB234" s="31">
        <v>0</v>
      </c>
      <c r="AC234" s="31">
        <f>ROUND((E234+F234+G234+H234+I234+J234)*1.5%,2)</f>
        <v>241579.76</v>
      </c>
      <c r="AD234" s="31">
        <v>0</v>
      </c>
      <c r="AE234" s="31">
        <v>0</v>
      </c>
      <c r="AF234" s="34" t="s">
        <v>274</v>
      </c>
      <c r="AG234" s="34">
        <v>2020</v>
      </c>
      <c r="AH234" s="35">
        <v>2020</v>
      </c>
      <c r="BZ234" s="71"/>
      <c r="CD234" s="20" t="e">
        <f t="shared" si="22"/>
        <v>#N/A</v>
      </c>
    </row>
    <row r="235" spans="1:82" ht="61.5" x14ac:dyDescent="0.85">
      <c r="A235" s="20">
        <v>1</v>
      </c>
      <c r="B235" s="66">
        <f>SUBTOTAL(103,$A$22:A235)</f>
        <v>210</v>
      </c>
      <c r="C235" s="24" t="s">
        <v>1206</v>
      </c>
      <c r="D235" s="31">
        <f t="shared" si="24"/>
        <v>4570000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0</v>
      </c>
      <c r="K235" s="33">
        <v>2</v>
      </c>
      <c r="L235" s="31">
        <v>4570000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0</v>
      </c>
      <c r="X235" s="31">
        <v>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4" t="s">
        <v>274</v>
      </c>
      <c r="AG235" s="34">
        <v>2020</v>
      </c>
      <c r="AH235" s="35" t="s">
        <v>274</v>
      </c>
      <c r="BZ235" s="71"/>
      <c r="CD235" s="20" t="e">
        <f t="shared" si="22"/>
        <v>#N/A</v>
      </c>
    </row>
    <row r="236" spans="1:82" ht="61.5" x14ac:dyDescent="0.85">
      <c r="A236" s="20">
        <v>1</v>
      </c>
      <c r="B236" s="66">
        <f>SUBTOTAL(103,$A$22:A236)</f>
        <v>211</v>
      </c>
      <c r="C236" s="24" t="s">
        <v>1606</v>
      </c>
      <c r="D236" s="31">
        <f t="shared" si="24"/>
        <v>8133637.8399999999</v>
      </c>
      <c r="E236" s="31">
        <v>0</v>
      </c>
      <c r="F236" s="31">
        <v>0</v>
      </c>
      <c r="G236" s="31">
        <v>0</v>
      </c>
      <c r="H236" s="31">
        <v>0</v>
      </c>
      <c r="I236" s="31">
        <v>0</v>
      </c>
      <c r="J236" s="31">
        <v>0</v>
      </c>
      <c r="K236" s="33">
        <v>4</v>
      </c>
      <c r="L236" s="31">
        <f>6453065+1680572.84</f>
        <v>8133637.8399999999</v>
      </c>
      <c r="M236" s="31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31">
        <v>0</v>
      </c>
      <c r="T236" s="31">
        <v>0</v>
      </c>
      <c r="U236" s="31">
        <v>0</v>
      </c>
      <c r="V236" s="31">
        <v>0</v>
      </c>
      <c r="W236" s="31">
        <v>0</v>
      </c>
      <c r="X236" s="31">
        <v>0</v>
      </c>
      <c r="Y236" s="31">
        <v>0</v>
      </c>
      <c r="Z236" s="31">
        <v>0</v>
      </c>
      <c r="AA236" s="31">
        <v>0</v>
      </c>
      <c r="AB236" s="31">
        <v>0</v>
      </c>
      <c r="AC236" s="31">
        <v>0</v>
      </c>
      <c r="AD236" s="31">
        <v>0</v>
      </c>
      <c r="AE236" s="31">
        <v>0</v>
      </c>
      <c r="AF236" s="34" t="s">
        <v>274</v>
      </c>
      <c r="AG236" s="34">
        <v>2020</v>
      </c>
      <c r="AH236" s="35" t="s">
        <v>274</v>
      </c>
      <c r="BZ236" s="71"/>
      <c r="CD236" s="20" t="e">
        <f t="shared" si="22"/>
        <v>#N/A</v>
      </c>
    </row>
    <row r="237" spans="1:82" ht="61.5" x14ac:dyDescent="0.85">
      <c r="B237" s="24" t="s">
        <v>840</v>
      </c>
      <c r="C237" s="166"/>
      <c r="D237" s="31">
        <f t="shared" ref="D237:AE237" si="25">SUM(D238:D264)</f>
        <v>103026578.48000002</v>
      </c>
      <c r="E237" s="31">
        <f t="shared" si="25"/>
        <v>682532.23</v>
      </c>
      <c r="F237" s="31">
        <f t="shared" si="25"/>
        <v>1291083.82</v>
      </c>
      <c r="G237" s="31">
        <f t="shared" si="25"/>
        <v>567639.41</v>
      </c>
      <c r="H237" s="31">
        <f t="shared" si="25"/>
        <v>442417.17</v>
      </c>
      <c r="I237" s="31">
        <f t="shared" si="25"/>
        <v>0</v>
      </c>
      <c r="J237" s="31">
        <f t="shared" si="25"/>
        <v>0</v>
      </c>
      <c r="K237" s="33">
        <f t="shared" si="25"/>
        <v>5</v>
      </c>
      <c r="L237" s="31">
        <f t="shared" si="25"/>
        <v>10876587.109999999</v>
      </c>
      <c r="M237" s="31">
        <f t="shared" si="25"/>
        <v>15613.74</v>
      </c>
      <c r="N237" s="31">
        <f t="shared" si="25"/>
        <v>65346627.029999994</v>
      </c>
      <c r="O237" s="31">
        <f t="shared" si="25"/>
        <v>0</v>
      </c>
      <c r="P237" s="31">
        <f t="shared" si="25"/>
        <v>0</v>
      </c>
      <c r="Q237" s="31">
        <f t="shared" si="25"/>
        <v>2773.9</v>
      </c>
      <c r="R237" s="31">
        <f t="shared" si="25"/>
        <v>13888076.630000001</v>
      </c>
      <c r="S237" s="31">
        <f t="shared" si="25"/>
        <v>128</v>
      </c>
      <c r="T237" s="31">
        <f t="shared" si="25"/>
        <v>1421419.39</v>
      </c>
      <c r="U237" s="31">
        <f t="shared" si="25"/>
        <v>5969062.7699999996</v>
      </c>
      <c r="V237" s="31">
        <f t="shared" si="25"/>
        <v>0</v>
      </c>
      <c r="W237" s="31">
        <f t="shared" si="25"/>
        <v>0</v>
      </c>
      <c r="X237" s="31">
        <f t="shared" si="25"/>
        <v>0</v>
      </c>
      <c r="Y237" s="31">
        <f t="shared" si="25"/>
        <v>0</v>
      </c>
      <c r="Z237" s="31">
        <f t="shared" si="25"/>
        <v>0</v>
      </c>
      <c r="AA237" s="31">
        <f t="shared" si="25"/>
        <v>0</v>
      </c>
      <c r="AB237" s="31">
        <f t="shared" si="25"/>
        <v>0</v>
      </c>
      <c r="AC237" s="31">
        <f t="shared" si="25"/>
        <v>1344132.8599999999</v>
      </c>
      <c r="AD237" s="31">
        <f t="shared" si="25"/>
        <v>1077000.06</v>
      </c>
      <c r="AE237" s="31">
        <f t="shared" si="25"/>
        <v>120000</v>
      </c>
      <c r="AF237" s="72" t="s">
        <v>776</v>
      </c>
      <c r="AG237" s="72" t="s">
        <v>776</v>
      </c>
      <c r="AH237" s="89" t="s">
        <v>776</v>
      </c>
      <c r="AT237" s="20" t="e">
        <f t="shared" ref="AT237:AT247" si="26">VLOOKUP(C237,AW:AX,2,FALSE)</f>
        <v>#N/A</v>
      </c>
      <c r="BZ237" s="31">
        <v>113740245.04000002</v>
      </c>
      <c r="CA237" s="31"/>
      <c r="CB237" s="31">
        <f>BZ237-D237</f>
        <v>10713666.560000002</v>
      </c>
      <c r="CD237" s="20" t="e">
        <f t="shared" si="22"/>
        <v>#N/A</v>
      </c>
    </row>
    <row r="238" spans="1:82" ht="61.5" x14ac:dyDescent="0.85">
      <c r="A238" s="20">
        <v>1</v>
      </c>
      <c r="B238" s="66">
        <f>SUBTOTAL(103,$A$22:A238)</f>
        <v>212</v>
      </c>
      <c r="C238" s="24" t="s">
        <v>634</v>
      </c>
      <c r="D238" s="31">
        <f t="shared" ref="D238:D264" si="27">E238+F238+G238+H238+I238+J238+L238+N238+P238+R238+T238+U238+V238+W238+X238+Y238+Z238+AA238+AB238+AC238+AD238+AE238</f>
        <v>4514092.07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3">
        <v>2</v>
      </c>
      <c r="L238" s="31">
        <v>4514092.07</v>
      </c>
      <c r="M238" s="31">
        <v>0</v>
      </c>
      <c r="N238" s="31">
        <v>0</v>
      </c>
      <c r="O238" s="36">
        <v>0</v>
      </c>
      <c r="P238" s="36">
        <v>0</v>
      </c>
      <c r="Q238" s="36">
        <v>0</v>
      </c>
      <c r="R238" s="36">
        <v>0</v>
      </c>
      <c r="S238" s="31">
        <v>0</v>
      </c>
      <c r="T238" s="31">
        <v>0</v>
      </c>
      <c r="U238" s="31">
        <v>0</v>
      </c>
      <c r="V238" s="31">
        <v>0</v>
      </c>
      <c r="W238" s="31">
        <v>0</v>
      </c>
      <c r="X238" s="31">
        <v>0</v>
      </c>
      <c r="Y238" s="31">
        <v>0</v>
      </c>
      <c r="Z238" s="31">
        <v>0</v>
      </c>
      <c r="AA238" s="31">
        <v>0</v>
      </c>
      <c r="AB238" s="31">
        <v>0</v>
      </c>
      <c r="AC238" s="31">
        <v>0</v>
      </c>
      <c r="AD238" s="31">
        <v>0</v>
      </c>
      <c r="AE238" s="31">
        <v>0</v>
      </c>
      <c r="AF238" s="34" t="s">
        <v>274</v>
      </c>
      <c r="AG238" s="34">
        <v>2020</v>
      </c>
      <c r="AH238" s="35" t="s">
        <v>274</v>
      </c>
      <c r="AT238" s="20" t="e">
        <f t="shared" si="26"/>
        <v>#N/A</v>
      </c>
      <c r="BZ238" s="71"/>
      <c r="CD238" s="20" t="e">
        <f t="shared" si="22"/>
        <v>#N/A</v>
      </c>
    </row>
    <row r="239" spans="1:82" ht="61.5" x14ac:dyDescent="0.85">
      <c r="A239" s="20">
        <v>1</v>
      </c>
      <c r="B239" s="66">
        <f>SUBTOTAL(103,$A$22:A239)</f>
        <v>213</v>
      </c>
      <c r="C239" s="24" t="s">
        <v>639</v>
      </c>
      <c r="D239" s="31">
        <f t="shared" si="27"/>
        <v>6206854.4400000004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3">
        <v>0</v>
      </c>
      <c r="L239" s="31">
        <v>0</v>
      </c>
      <c r="M239" s="31">
        <v>0</v>
      </c>
      <c r="N239" s="31">
        <v>0</v>
      </c>
      <c r="O239" s="36">
        <v>0</v>
      </c>
      <c r="P239" s="36">
        <v>0</v>
      </c>
      <c r="Q239" s="36">
        <v>0</v>
      </c>
      <c r="R239" s="36">
        <v>0</v>
      </c>
      <c r="S239" s="31">
        <v>0</v>
      </c>
      <c r="T239" s="31">
        <v>0</v>
      </c>
      <c r="U239" s="31">
        <v>5969062.7699999996</v>
      </c>
      <c r="V239" s="31">
        <v>0</v>
      </c>
      <c r="W239" s="31">
        <v>0</v>
      </c>
      <c r="X239" s="31">
        <v>0</v>
      </c>
      <c r="Y239" s="31">
        <v>0</v>
      </c>
      <c r="Z239" s="31">
        <v>0</v>
      </c>
      <c r="AA239" s="31">
        <v>0</v>
      </c>
      <c r="AB239" s="31">
        <v>0</v>
      </c>
      <c r="AC239" s="31">
        <f>ROUND(U239*1.5%,2)</f>
        <v>89535.94</v>
      </c>
      <c r="AD239" s="31">
        <v>148255.73000000001</v>
      </c>
      <c r="AE239" s="31">
        <v>0</v>
      </c>
      <c r="AF239" s="34">
        <v>2020</v>
      </c>
      <c r="AG239" s="34">
        <v>2020</v>
      </c>
      <c r="AH239" s="35">
        <v>2020</v>
      </c>
      <c r="AT239" s="20" t="e">
        <f t="shared" si="26"/>
        <v>#N/A</v>
      </c>
      <c r="BZ239" s="71"/>
      <c r="CD239" s="20" t="e">
        <f t="shared" si="22"/>
        <v>#N/A</v>
      </c>
    </row>
    <row r="240" spans="1:82" ht="61.5" x14ac:dyDescent="0.85">
      <c r="A240" s="20">
        <v>1</v>
      </c>
      <c r="B240" s="66">
        <f>SUBTOTAL(103,$A$22:A240)</f>
        <v>214</v>
      </c>
      <c r="C240" s="24" t="s">
        <v>640</v>
      </c>
      <c r="D240" s="31">
        <f t="shared" si="27"/>
        <v>12453169.640000001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3">
        <v>0</v>
      </c>
      <c r="L240" s="31">
        <v>0</v>
      </c>
      <c r="M240" s="31">
        <v>0</v>
      </c>
      <c r="N240" s="31">
        <v>0</v>
      </c>
      <c r="O240" s="36">
        <v>0</v>
      </c>
      <c r="P240" s="36">
        <v>0</v>
      </c>
      <c r="Q240" s="31">
        <v>1978</v>
      </c>
      <c r="R240" s="31">
        <f>13074770.52-1165153.63+43983.36+394249.55-377278.61+128749.29</f>
        <v>12099320.48</v>
      </c>
      <c r="S240" s="31">
        <v>0</v>
      </c>
      <c r="T240" s="31">
        <v>0</v>
      </c>
      <c r="U240" s="31">
        <v>0</v>
      </c>
      <c r="V240" s="31">
        <v>0</v>
      </c>
      <c r="W240" s="31">
        <v>0</v>
      </c>
      <c r="X240" s="31">
        <v>0</v>
      </c>
      <c r="Y240" s="31">
        <v>0</v>
      </c>
      <c r="Z240" s="31">
        <v>0</v>
      </c>
      <c r="AA240" s="31">
        <v>0</v>
      </c>
      <c r="AB240" s="31">
        <v>0</v>
      </c>
      <c r="AC240" s="31">
        <f>ROUND(R240*1.5%,2)</f>
        <v>181489.81</v>
      </c>
      <c r="AD240" s="31">
        <v>172359.35</v>
      </c>
      <c r="AE240" s="31">
        <v>0</v>
      </c>
      <c r="AF240" s="34">
        <v>2020</v>
      </c>
      <c r="AG240" s="34">
        <v>2020</v>
      </c>
      <c r="AH240" s="35">
        <v>2020</v>
      </c>
      <c r="AT240" s="20" t="e">
        <f t="shared" si="26"/>
        <v>#N/A</v>
      </c>
      <c r="BZ240" s="71"/>
      <c r="CD240" s="20" t="e">
        <f t="shared" si="22"/>
        <v>#N/A</v>
      </c>
    </row>
    <row r="241" spans="1:82" ht="61.5" x14ac:dyDescent="0.85">
      <c r="A241" s="20">
        <v>1</v>
      </c>
      <c r="B241" s="66">
        <f>SUBTOTAL(103,$A$22:A241)</f>
        <v>215</v>
      </c>
      <c r="C241" s="24" t="s">
        <v>643</v>
      </c>
      <c r="D241" s="31">
        <f t="shared" si="27"/>
        <v>4304343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3">
        <v>2</v>
      </c>
      <c r="L241" s="31">
        <v>4304343</v>
      </c>
      <c r="M241" s="31">
        <v>0</v>
      </c>
      <c r="N241" s="31">
        <v>0</v>
      </c>
      <c r="O241" s="36">
        <v>0</v>
      </c>
      <c r="P241" s="36">
        <v>0</v>
      </c>
      <c r="Q241" s="31">
        <v>0</v>
      </c>
      <c r="R241" s="31">
        <v>0</v>
      </c>
      <c r="S241" s="31">
        <v>0</v>
      </c>
      <c r="T241" s="31">
        <v>0</v>
      </c>
      <c r="U241" s="31">
        <v>0</v>
      </c>
      <c r="V241" s="31">
        <v>0</v>
      </c>
      <c r="W241" s="31">
        <v>0</v>
      </c>
      <c r="X241" s="31">
        <v>0</v>
      </c>
      <c r="Y241" s="31">
        <v>0</v>
      </c>
      <c r="Z241" s="31">
        <v>0</v>
      </c>
      <c r="AA241" s="31">
        <v>0</v>
      </c>
      <c r="AB241" s="31">
        <v>0</v>
      </c>
      <c r="AC241" s="31">
        <v>0</v>
      </c>
      <c r="AD241" s="31">
        <v>0</v>
      </c>
      <c r="AE241" s="31">
        <v>0</v>
      </c>
      <c r="AF241" s="34" t="s">
        <v>274</v>
      </c>
      <c r="AG241" s="34">
        <v>2020</v>
      </c>
      <c r="AH241" s="35" t="s">
        <v>274</v>
      </c>
      <c r="AT241" s="20">
        <f t="shared" si="26"/>
        <v>1</v>
      </c>
      <c r="BZ241" s="71"/>
      <c r="CD241" s="20" t="e">
        <f t="shared" si="22"/>
        <v>#N/A</v>
      </c>
    </row>
    <row r="242" spans="1:82" ht="61.5" x14ac:dyDescent="0.85">
      <c r="A242" s="20">
        <v>1</v>
      </c>
      <c r="B242" s="66">
        <f>SUBTOTAL(103,$A$22:A242)</f>
        <v>216</v>
      </c>
      <c r="C242" s="24" t="s">
        <v>645</v>
      </c>
      <c r="D242" s="31">
        <f t="shared" si="27"/>
        <v>2597044.75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3">
        <v>0</v>
      </c>
      <c r="L242" s="31">
        <v>0</v>
      </c>
      <c r="M242" s="31">
        <v>486.27</v>
      </c>
      <c r="N242" s="31">
        <f>2443406.9+65152.14</f>
        <v>2508559.04</v>
      </c>
      <c r="O242" s="36">
        <v>0</v>
      </c>
      <c r="P242" s="36">
        <v>0</v>
      </c>
      <c r="Q242" s="31">
        <v>0</v>
      </c>
      <c r="R242" s="31">
        <v>0</v>
      </c>
      <c r="S242" s="31">
        <v>0</v>
      </c>
      <c r="T242" s="31">
        <v>0</v>
      </c>
      <c r="U242" s="31">
        <v>0</v>
      </c>
      <c r="V242" s="31">
        <v>0</v>
      </c>
      <c r="W242" s="31">
        <v>0</v>
      </c>
      <c r="X242" s="31">
        <v>0</v>
      </c>
      <c r="Y242" s="31">
        <v>0</v>
      </c>
      <c r="Z242" s="31">
        <v>0</v>
      </c>
      <c r="AA242" s="31">
        <v>0</v>
      </c>
      <c r="AB242" s="31">
        <v>0</v>
      </c>
      <c r="AC242" s="31">
        <f>ROUND(N242*1.5%,2)</f>
        <v>37628.39</v>
      </c>
      <c r="AD242" s="31">
        <v>50857.32</v>
      </c>
      <c r="AE242" s="31">
        <v>0</v>
      </c>
      <c r="AF242" s="34">
        <v>2020</v>
      </c>
      <c r="AG242" s="34">
        <v>2020</v>
      </c>
      <c r="AH242" s="35">
        <v>2020</v>
      </c>
      <c r="AT242" s="20" t="e">
        <f t="shared" si="26"/>
        <v>#N/A</v>
      </c>
      <c r="BZ242" s="71"/>
      <c r="CD242" s="20">
        <f t="shared" si="22"/>
        <v>486.27</v>
      </c>
    </row>
    <row r="243" spans="1:82" ht="61.5" x14ac:dyDescent="0.85">
      <c r="A243" s="20">
        <v>1</v>
      </c>
      <c r="B243" s="66">
        <f>SUBTOTAL(103,$A$22:A243)</f>
        <v>217</v>
      </c>
      <c r="C243" s="24" t="s">
        <v>648</v>
      </c>
      <c r="D243" s="31">
        <f t="shared" si="27"/>
        <v>3150844.62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3">
        <v>0</v>
      </c>
      <c r="L243" s="31">
        <v>0</v>
      </c>
      <c r="M243" s="31">
        <v>586.70000000000005</v>
      </c>
      <c r="N243" s="31">
        <v>2998318.93</v>
      </c>
      <c r="O243" s="36">
        <v>0</v>
      </c>
      <c r="P243" s="36">
        <v>0</v>
      </c>
      <c r="Q243" s="31">
        <v>0</v>
      </c>
      <c r="R243" s="31">
        <v>0</v>
      </c>
      <c r="S243" s="31">
        <v>0</v>
      </c>
      <c r="T243" s="31">
        <v>0</v>
      </c>
      <c r="U243" s="31">
        <v>0</v>
      </c>
      <c r="V243" s="31">
        <v>0</v>
      </c>
      <c r="W243" s="31">
        <v>0</v>
      </c>
      <c r="X243" s="31">
        <v>0</v>
      </c>
      <c r="Y243" s="31">
        <v>0</v>
      </c>
      <c r="Z243" s="31">
        <v>0</v>
      </c>
      <c r="AA243" s="31">
        <v>0</v>
      </c>
      <c r="AB243" s="31">
        <v>0</v>
      </c>
      <c r="AC243" s="31">
        <f>ROUND(N243*1.5%,2)</f>
        <v>44974.78</v>
      </c>
      <c r="AD243" s="31">
        <v>107550.91</v>
      </c>
      <c r="AE243" s="31">
        <v>0</v>
      </c>
      <c r="AF243" s="34">
        <v>2020</v>
      </c>
      <c r="AG243" s="34">
        <v>2020</v>
      </c>
      <c r="AH243" s="35">
        <v>2020</v>
      </c>
      <c r="AT243" s="20" t="e">
        <f t="shared" si="26"/>
        <v>#N/A</v>
      </c>
      <c r="BZ243" s="71"/>
      <c r="CD243" s="20">
        <f t="shared" si="22"/>
        <v>586.70000000000005</v>
      </c>
    </row>
    <row r="244" spans="1:82" ht="61.5" x14ac:dyDescent="0.85">
      <c r="A244" s="20">
        <v>1</v>
      </c>
      <c r="B244" s="66">
        <f>SUBTOTAL(103,$A$22:A244)</f>
        <v>218</v>
      </c>
      <c r="C244" s="24" t="s">
        <v>649</v>
      </c>
      <c r="D244" s="31">
        <f t="shared" si="27"/>
        <v>1519430.92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3">
        <v>0</v>
      </c>
      <c r="L244" s="31">
        <v>0</v>
      </c>
      <c r="M244" s="31">
        <v>384.56</v>
      </c>
      <c r="N244" s="31">
        <v>1452982.14</v>
      </c>
      <c r="O244" s="36">
        <v>0</v>
      </c>
      <c r="P244" s="36">
        <v>0</v>
      </c>
      <c r="Q244" s="31">
        <v>0</v>
      </c>
      <c r="R244" s="31">
        <v>0</v>
      </c>
      <c r="S244" s="31">
        <v>0</v>
      </c>
      <c r="T244" s="31">
        <v>0</v>
      </c>
      <c r="U244" s="31">
        <v>0</v>
      </c>
      <c r="V244" s="31">
        <v>0</v>
      </c>
      <c r="W244" s="31">
        <v>0</v>
      </c>
      <c r="X244" s="31">
        <v>0</v>
      </c>
      <c r="Y244" s="31">
        <v>0</v>
      </c>
      <c r="Z244" s="31">
        <v>0</v>
      </c>
      <c r="AA244" s="31">
        <v>0</v>
      </c>
      <c r="AB244" s="31">
        <v>0</v>
      </c>
      <c r="AC244" s="31">
        <f>ROUND(N244*1.5%,2)</f>
        <v>21794.73</v>
      </c>
      <c r="AD244" s="31">
        <v>44654.05</v>
      </c>
      <c r="AE244" s="31">
        <v>0</v>
      </c>
      <c r="AF244" s="34">
        <v>2020</v>
      </c>
      <c r="AG244" s="34">
        <v>2020</v>
      </c>
      <c r="AH244" s="35">
        <v>2020</v>
      </c>
      <c r="AT244" s="20" t="e">
        <f t="shared" si="26"/>
        <v>#N/A</v>
      </c>
      <c r="BZ244" s="71"/>
      <c r="CD244" s="20">
        <f t="shared" si="22"/>
        <v>384.56</v>
      </c>
    </row>
    <row r="245" spans="1:82" ht="61.5" x14ac:dyDescent="0.85">
      <c r="A245" s="20">
        <v>1</v>
      </c>
      <c r="B245" s="66">
        <f>SUBTOTAL(103,$A$22:A245)</f>
        <v>219</v>
      </c>
      <c r="C245" s="24" t="s">
        <v>650</v>
      </c>
      <c r="D245" s="31">
        <f t="shared" si="27"/>
        <v>2058152.04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3">
        <v>1</v>
      </c>
      <c r="L245" s="31">
        <v>2058152.04</v>
      </c>
      <c r="M245" s="31">
        <v>0</v>
      </c>
      <c r="N245" s="31">
        <v>0</v>
      </c>
      <c r="O245" s="36">
        <v>0</v>
      </c>
      <c r="P245" s="36">
        <v>0</v>
      </c>
      <c r="Q245" s="31">
        <v>0</v>
      </c>
      <c r="R245" s="31">
        <v>0</v>
      </c>
      <c r="S245" s="31">
        <v>0</v>
      </c>
      <c r="T245" s="31">
        <v>0</v>
      </c>
      <c r="U245" s="31">
        <v>0</v>
      </c>
      <c r="V245" s="31">
        <v>0</v>
      </c>
      <c r="W245" s="31">
        <v>0</v>
      </c>
      <c r="X245" s="31">
        <v>0</v>
      </c>
      <c r="Y245" s="31">
        <v>0</v>
      </c>
      <c r="Z245" s="31">
        <v>0</v>
      </c>
      <c r="AA245" s="31">
        <v>0</v>
      </c>
      <c r="AB245" s="31">
        <v>0</v>
      </c>
      <c r="AC245" s="31">
        <v>0</v>
      </c>
      <c r="AD245" s="31">
        <v>0</v>
      </c>
      <c r="AE245" s="31">
        <v>0</v>
      </c>
      <c r="AF245" s="34" t="s">
        <v>274</v>
      </c>
      <c r="AG245" s="34">
        <v>2020</v>
      </c>
      <c r="AH245" s="35" t="s">
        <v>274</v>
      </c>
      <c r="AT245" s="20" t="e">
        <f t="shared" si="26"/>
        <v>#N/A</v>
      </c>
      <c r="BZ245" s="71"/>
      <c r="CD245" s="20" t="e">
        <f t="shared" si="22"/>
        <v>#N/A</v>
      </c>
    </row>
    <row r="246" spans="1:82" ht="61.5" x14ac:dyDescent="0.85">
      <c r="A246" s="20">
        <v>1</v>
      </c>
      <c r="B246" s="66">
        <f>SUBTOTAL(103,$A$22:A246)</f>
        <v>220</v>
      </c>
      <c r="C246" s="24" t="s">
        <v>652</v>
      </c>
      <c r="D246" s="31">
        <f t="shared" si="27"/>
        <v>1094145.4000000001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3">
        <v>0</v>
      </c>
      <c r="L246" s="31">
        <v>0</v>
      </c>
      <c r="M246" s="31">
        <v>240</v>
      </c>
      <c r="N246" s="31">
        <f>1116295.57-118226.6+31398.62</f>
        <v>1029467.5900000001</v>
      </c>
      <c r="O246" s="36">
        <v>0</v>
      </c>
      <c r="P246" s="36">
        <v>0</v>
      </c>
      <c r="Q246" s="31">
        <v>0</v>
      </c>
      <c r="R246" s="31">
        <v>0</v>
      </c>
      <c r="S246" s="31">
        <v>0</v>
      </c>
      <c r="T246" s="31">
        <v>0</v>
      </c>
      <c r="U246" s="31">
        <v>0</v>
      </c>
      <c r="V246" s="31">
        <v>0</v>
      </c>
      <c r="W246" s="31">
        <v>0</v>
      </c>
      <c r="X246" s="31">
        <v>0</v>
      </c>
      <c r="Y246" s="31">
        <v>0</v>
      </c>
      <c r="Z246" s="31">
        <v>0</v>
      </c>
      <c r="AA246" s="31">
        <v>0</v>
      </c>
      <c r="AB246" s="31">
        <v>0</v>
      </c>
      <c r="AC246" s="31">
        <f t="shared" ref="AC246:AC251" si="28">ROUND(N246*1.5%,2)</f>
        <v>15442.01</v>
      </c>
      <c r="AD246" s="31">
        <v>49235.8</v>
      </c>
      <c r="AE246" s="31">
        <v>0</v>
      </c>
      <c r="AF246" s="34">
        <v>2020</v>
      </c>
      <c r="AG246" s="34">
        <v>2020</v>
      </c>
      <c r="AH246" s="35">
        <v>2020</v>
      </c>
      <c r="AT246" s="20" t="e">
        <f t="shared" si="26"/>
        <v>#N/A</v>
      </c>
      <c r="BZ246" s="71"/>
      <c r="CD246" s="20" t="e">
        <f t="shared" si="22"/>
        <v>#N/A</v>
      </c>
    </row>
    <row r="247" spans="1:82" ht="61.5" x14ac:dyDescent="0.85">
      <c r="A247" s="20">
        <v>1</v>
      </c>
      <c r="B247" s="66">
        <f>SUBTOTAL(103,$A$22:A247)</f>
        <v>221</v>
      </c>
      <c r="C247" s="24" t="s">
        <v>656</v>
      </c>
      <c r="D247" s="31">
        <f t="shared" si="27"/>
        <v>1846706.18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3">
        <v>0</v>
      </c>
      <c r="L247" s="31">
        <v>0</v>
      </c>
      <c r="M247" s="31">
        <v>563.1</v>
      </c>
      <c r="N247" s="31">
        <v>1819414.96</v>
      </c>
      <c r="O247" s="36">
        <v>0</v>
      </c>
      <c r="P247" s="36">
        <v>0</v>
      </c>
      <c r="Q247" s="31">
        <v>0</v>
      </c>
      <c r="R247" s="31">
        <v>0</v>
      </c>
      <c r="S247" s="31">
        <v>0</v>
      </c>
      <c r="T247" s="31">
        <v>0</v>
      </c>
      <c r="U247" s="31">
        <v>0</v>
      </c>
      <c r="V247" s="31">
        <v>0</v>
      </c>
      <c r="W247" s="31">
        <v>0</v>
      </c>
      <c r="X247" s="31">
        <v>0</v>
      </c>
      <c r="Y247" s="31">
        <v>0</v>
      </c>
      <c r="Z247" s="31">
        <v>0</v>
      </c>
      <c r="AA247" s="31">
        <v>0</v>
      </c>
      <c r="AB247" s="31">
        <v>0</v>
      </c>
      <c r="AC247" s="31">
        <f t="shared" si="28"/>
        <v>27291.22</v>
      </c>
      <c r="AD247" s="31">
        <v>0</v>
      </c>
      <c r="AE247" s="31">
        <v>0</v>
      </c>
      <c r="AF247" s="34" t="s">
        <v>274</v>
      </c>
      <c r="AG247" s="34">
        <v>2020</v>
      </c>
      <c r="AH247" s="35">
        <v>2020</v>
      </c>
      <c r="AT247" s="20" t="e">
        <f t="shared" si="26"/>
        <v>#N/A</v>
      </c>
      <c r="BZ247" s="71"/>
      <c r="CD247" s="20">
        <f t="shared" si="22"/>
        <v>563.1</v>
      </c>
    </row>
    <row r="248" spans="1:82" ht="61.5" x14ac:dyDescent="0.85">
      <c r="A248" s="20">
        <v>1</v>
      </c>
      <c r="B248" s="66">
        <f>SUBTOTAL(103,$A$22:A248)</f>
        <v>222</v>
      </c>
      <c r="C248" s="24" t="s">
        <v>1121</v>
      </c>
      <c r="D248" s="31">
        <f t="shared" si="27"/>
        <v>6172822.9000000004</v>
      </c>
      <c r="E248" s="31">
        <v>0</v>
      </c>
      <c r="F248" s="31">
        <v>0</v>
      </c>
      <c r="G248" s="31">
        <v>0</v>
      </c>
      <c r="H248" s="31">
        <v>0</v>
      </c>
      <c r="I248" s="31">
        <v>0</v>
      </c>
      <c r="J248" s="31">
        <v>0</v>
      </c>
      <c r="K248" s="33">
        <v>0</v>
      </c>
      <c r="L248" s="31">
        <v>0</v>
      </c>
      <c r="M248" s="31">
        <v>900</v>
      </c>
      <c r="N248" s="31">
        <f>4482384.24+117744.83-2.13+194504.87+1165153.63</f>
        <v>5959785.4400000004</v>
      </c>
      <c r="O248" s="31">
        <v>0</v>
      </c>
      <c r="P248" s="31">
        <v>0</v>
      </c>
      <c r="Q248" s="31">
        <v>0</v>
      </c>
      <c r="R248" s="31">
        <v>0</v>
      </c>
      <c r="S248" s="31">
        <v>0</v>
      </c>
      <c r="T248" s="31">
        <v>0</v>
      </c>
      <c r="U248" s="31">
        <v>0</v>
      </c>
      <c r="V248" s="31">
        <v>0</v>
      </c>
      <c r="W248" s="31">
        <v>0</v>
      </c>
      <c r="X248" s="31">
        <v>0</v>
      </c>
      <c r="Y248" s="31">
        <v>0</v>
      </c>
      <c r="Z248" s="31">
        <v>0</v>
      </c>
      <c r="AA248" s="31">
        <v>0</v>
      </c>
      <c r="AB248" s="31">
        <v>0</v>
      </c>
      <c r="AC248" s="31">
        <f t="shared" si="28"/>
        <v>89396.78</v>
      </c>
      <c r="AD248" s="31">
        <v>123640.68</v>
      </c>
      <c r="AE248" s="31">
        <v>0</v>
      </c>
      <c r="AF248" s="34">
        <v>2020</v>
      </c>
      <c r="AG248" s="34">
        <v>2020</v>
      </c>
      <c r="AH248" s="35">
        <v>2020</v>
      </c>
      <c r="BZ248" s="71"/>
      <c r="CD248" s="20" t="e">
        <f t="shared" si="22"/>
        <v>#N/A</v>
      </c>
    </row>
    <row r="249" spans="1:82" ht="61.5" x14ac:dyDescent="0.85">
      <c r="A249" s="20">
        <v>1</v>
      </c>
      <c r="B249" s="66">
        <f>SUBTOTAL(103,$A$22:A249)</f>
        <v>223</v>
      </c>
      <c r="C249" s="24" t="s">
        <v>1207</v>
      </c>
      <c r="D249" s="31">
        <f t="shared" si="27"/>
        <v>1036792.7000000001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3">
        <v>0</v>
      </c>
      <c r="L249" s="31">
        <v>0</v>
      </c>
      <c r="M249" s="31">
        <v>540.5</v>
      </c>
      <c r="N249" s="31">
        <v>1021470.64</v>
      </c>
      <c r="O249" s="36">
        <v>0</v>
      </c>
      <c r="P249" s="36">
        <v>0</v>
      </c>
      <c r="Q249" s="31">
        <v>0</v>
      </c>
      <c r="R249" s="31">
        <v>0</v>
      </c>
      <c r="S249" s="31">
        <v>0</v>
      </c>
      <c r="T249" s="31">
        <v>0</v>
      </c>
      <c r="U249" s="31">
        <v>0</v>
      </c>
      <c r="V249" s="31">
        <v>0</v>
      </c>
      <c r="W249" s="31">
        <v>0</v>
      </c>
      <c r="X249" s="31">
        <v>0</v>
      </c>
      <c r="Y249" s="31">
        <v>0</v>
      </c>
      <c r="Z249" s="31">
        <v>0</v>
      </c>
      <c r="AA249" s="31">
        <v>0</v>
      </c>
      <c r="AB249" s="31">
        <v>0</v>
      </c>
      <c r="AC249" s="31">
        <f t="shared" si="28"/>
        <v>15322.06</v>
      </c>
      <c r="AD249" s="31">
        <v>0</v>
      </c>
      <c r="AE249" s="31">
        <v>0</v>
      </c>
      <c r="AF249" s="34" t="s">
        <v>274</v>
      </c>
      <c r="AG249" s="34">
        <v>2020</v>
      </c>
      <c r="AH249" s="35">
        <v>2020</v>
      </c>
      <c r="BZ249" s="71"/>
      <c r="CD249" s="20">
        <f t="shared" si="22"/>
        <v>540.5</v>
      </c>
    </row>
    <row r="250" spans="1:82" ht="61.5" x14ac:dyDescent="0.85">
      <c r="A250" s="20">
        <v>1</v>
      </c>
      <c r="B250" s="66">
        <f>SUBTOTAL(103,$A$22:A250)</f>
        <v>224</v>
      </c>
      <c r="C250" s="24" t="s">
        <v>1208</v>
      </c>
      <c r="D250" s="31">
        <f t="shared" si="27"/>
        <v>3426545.11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3">
        <v>0</v>
      </c>
      <c r="L250" s="31">
        <v>0</v>
      </c>
      <c r="M250" s="31">
        <v>603.5</v>
      </c>
      <c r="N250" s="31">
        <v>3299185.88</v>
      </c>
      <c r="O250" s="36">
        <v>0</v>
      </c>
      <c r="P250" s="36">
        <v>0</v>
      </c>
      <c r="Q250" s="31">
        <v>0</v>
      </c>
      <c r="R250" s="31">
        <v>0</v>
      </c>
      <c r="S250" s="31">
        <v>0</v>
      </c>
      <c r="T250" s="31">
        <v>0</v>
      </c>
      <c r="U250" s="31">
        <v>0</v>
      </c>
      <c r="V250" s="31">
        <v>0</v>
      </c>
      <c r="W250" s="31">
        <v>0</v>
      </c>
      <c r="X250" s="31">
        <v>0</v>
      </c>
      <c r="Y250" s="31">
        <v>0</v>
      </c>
      <c r="Z250" s="31">
        <v>0</v>
      </c>
      <c r="AA250" s="31">
        <v>0</v>
      </c>
      <c r="AB250" s="31">
        <v>0</v>
      </c>
      <c r="AC250" s="31">
        <f t="shared" si="28"/>
        <v>49487.79</v>
      </c>
      <c r="AD250" s="31">
        <v>77871.44</v>
      </c>
      <c r="AE250" s="31">
        <v>0</v>
      </c>
      <c r="AF250" s="34">
        <v>2020</v>
      </c>
      <c r="AG250" s="34">
        <v>2020</v>
      </c>
      <c r="AH250" s="35">
        <v>2020</v>
      </c>
      <c r="BZ250" s="71"/>
      <c r="CD250" s="20">
        <f t="shared" si="22"/>
        <v>603.5</v>
      </c>
    </row>
    <row r="251" spans="1:82" ht="61.5" x14ac:dyDescent="0.85">
      <c r="A251" s="20">
        <v>1</v>
      </c>
      <c r="B251" s="66">
        <f>SUBTOTAL(103,$A$22:A251)</f>
        <v>225</v>
      </c>
      <c r="C251" s="24" t="s">
        <v>1209</v>
      </c>
      <c r="D251" s="31">
        <f t="shared" si="27"/>
        <v>8907316.4199999999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3">
        <v>0</v>
      </c>
      <c r="L251" s="31">
        <v>0</v>
      </c>
      <c r="M251" s="31">
        <v>1650</v>
      </c>
      <c r="N251" s="31">
        <v>8775681.1999999993</v>
      </c>
      <c r="O251" s="36">
        <v>0</v>
      </c>
      <c r="P251" s="36">
        <v>0</v>
      </c>
      <c r="Q251" s="31">
        <v>0</v>
      </c>
      <c r="R251" s="31">
        <v>0</v>
      </c>
      <c r="S251" s="31">
        <v>0</v>
      </c>
      <c r="T251" s="31">
        <v>0</v>
      </c>
      <c r="U251" s="31">
        <v>0</v>
      </c>
      <c r="V251" s="31">
        <v>0</v>
      </c>
      <c r="W251" s="31">
        <v>0</v>
      </c>
      <c r="X251" s="31">
        <v>0</v>
      </c>
      <c r="Y251" s="31">
        <v>0</v>
      </c>
      <c r="Z251" s="31">
        <v>0</v>
      </c>
      <c r="AA251" s="31">
        <v>0</v>
      </c>
      <c r="AB251" s="31">
        <v>0</v>
      </c>
      <c r="AC251" s="31">
        <f t="shared" si="28"/>
        <v>131635.22</v>
      </c>
      <c r="AD251" s="31">
        <v>0</v>
      </c>
      <c r="AE251" s="31">
        <v>0</v>
      </c>
      <c r="AF251" s="34" t="s">
        <v>274</v>
      </c>
      <c r="AG251" s="34">
        <v>2020</v>
      </c>
      <c r="AH251" s="35">
        <v>2020</v>
      </c>
      <c r="BZ251" s="71"/>
      <c r="CD251" s="20">
        <f t="shared" si="22"/>
        <v>1650</v>
      </c>
    </row>
    <row r="252" spans="1:82" ht="61.5" x14ac:dyDescent="0.85">
      <c r="A252" s="20">
        <v>1</v>
      </c>
      <c r="B252" s="66">
        <f>SUBTOTAL(103,$A$22:A252)</f>
        <v>226</v>
      </c>
      <c r="C252" s="24" t="s">
        <v>1210</v>
      </c>
      <c r="D252" s="31">
        <f t="shared" si="27"/>
        <v>1815587.49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3">
        <v>0</v>
      </c>
      <c r="L252" s="31">
        <v>0</v>
      </c>
      <c r="M252" s="31">
        <v>0</v>
      </c>
      <c r="N252" s="31">
        <v>0</v>
      </c>
      <c r="O252" s="36">
        <v>0</v>
      </c>
      <c r="P252" s="36">
        <v>0</v>
      </c>
      <c r="Q252" s="31">
        <v>795.9</v>
      </c>
      <c r="R252" s="31">
        <v>1788756.15</v>
      </c>
      <c r="S252" s="31">
        <v>0</v>
      </c>
      <c r="T252" s="31">
        <v>0</v>
      </c>
      <c r="U252" s="31">
        <v>0</v>
      </c>
      <c r="V252" s="31">
        <v>0</v>
      </c>
      <c r="W252" s="31">
        <v>0</v>
      </c>
      <c r="X252" s="31">
        <v>0</v>
      </c>
      <c r="Y252" s="31">
        <v>0</v>
      </c>
      <c r="Z252" s="31">
        <v>0</v>
      </c>
      <c r="AA252" s="31">
        <v>0</v>
      </c>
      <c r="AB252" s="31">
        <v>0</v>
      </c>
      <c r="AC252" s="31">
        <f>ROUND(R252*1.5%,2)</f>
        <v>26831.34</v>
      </c>
      <c r="AD252" s="31">
        <v>0</v>
      </c>
      <c r="AE252" s="31">
        <v>0</v>
      </c>
      <c r="AF252" s="34" t="s">
        <v>274</v>
      </c>
      <c r="AG252" s="34">
        <v>2020</v>
      </c>
      <c r="AH252" s="35">
        <v>2020</v>
      </c>
      <c r="BZ252" s="71"/>
      <c r="CD252" s="20" t="e">
        <f t="shared" si="22"/>
        <v>#N/A</v>
      </c>
    </row>
    <row r="253" spans="1:82" ht="61.5" x14ac:dyDescent="0.85">
      <c r="A253" s="20">
        <v>1</v>
      </c>
      <c r="B253" s="66">
        <f>SUBTOTAL(103,$A$22:A253)</f>
        <v>227</v>
      </c>
      <c r="C253" s="24" t="s">
        <v>1211</v>
      </c>
      <c r="D253" s="31">
        <f t="shared" si="27"/>
        <v>3742412.1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3">
        <v>0</v>
      </c>
      <c r="L253" s="31">
        <v>0</v>
      </c>
      <c r="M253" s="31">
        <v>1906.5</v>
      </c>
      <c r="N253" s="31">
        <v>3687105.52</v>
      </c>
      <c r="O253" s="36">
        <v>0</v>
      </c>
      <c r="P253" s="36">
        <v>0</v>
      </c>
      <c r="Q253" s="31">
        <v>0</v>
      </c>
      <c r="R253" s="31">
        <v>0</v>
      </c>
      <c r="S253" s="31">
        <v>0</v>
      </c>
      <c r="T253" s="31">
        <v>0</v>
      </c>
      <c r="U253" s="31">
        <v>0</v>
      </c>
      <c r="V253" s="31">
        <v>0</v>
      </c>
      <c r="W253" s="31">
        <v>0</v>
      </c>
      <c r="X253" s="31">
        <v>0</v>
      </c>
      <c r="Y253" s="31">
        <v>0</v>
      </c>
      <c r="Z253" s="31">
        <v>0</v>
      </c>
      <c r="AA253" s="31">
        <v>0</v>
      </c>
      <c r="AB253" s="31">
        <v>0</v>
      </c>
      <c r="AC253" s="31">
        <f>ROUND(N253*1.5%,2)</f>
        <v>55306.58</v>
      </c>
      <c r="AD253" s="31">
        <v>0</v>
      </c>
      <c r="AE253" s="31">
        <v>0</v>
      </c>
      <c r="AF253" s="34" t="s">
        <v>274</v>
      </c>
      <c r="AG253" s="34">
        <v>2020</v>
      </c>
      <c r="AH253" s="35">
        <v>2020</v>
      </c>
      <c r="BZ253" s="71"/>
      <c r="CD253" s="20">
        <f t="shared" si="22"/>
        <v>1906.5</v>
      </c>
    </row>
    <row r="254" spans="1:82" ht="61.5" x14ac:dyDescent="0.85">
      <c r="A254" s="20">
        <v>1</v>
      </c>
      <c r="B254" s="66">
        <f>SUBTOTAL(103,$A$22:A254)</f>
        <v>228</v>
      </c>
      <c r="C254" s="24" t="s">
        <v>1215</v>
      </c>
      <c r="D254" s="31">
        <f t="shared" si="27"/>
        <v>2296405.6799999997</v>
      </c>
      <c r="E254" s="36">
        <v>682532.23</v>
      </c>
      <c r="F254" s="36">
        <v>1291083.82</v>
      </c>
      <c r="G254" s="36">
        <v>0</v>
      </c>
      <c r="H254" s="36">
        <v>288852.59999999998</v>
      </c>
      <c r="I254" s="36">
        <v>0</v>
      </c>
      <c r="J254" s="36">
        <v>0</v>
      </c>
      <c r="K254" s="33">
        <v>0</v>
      </c>
      <c r="L254" s="31">
        <v>0</v>
      </c>
      <c r="M254" s="31">
        <v>0</v>
      </c>
      <c r="N254" s="31">
        <v>0</v>
      </c>
      <c r="O254" s="36">
        <v>0</v>
      </c>
      <c r="P254" s="36">
        <v>0</v>
      </c>
      <c r="Q254" s="31">
        <v>0</v>
      </c>
      <c r="R254" s="31">
        <v>0</v>
      </c>
      <c r="S254" s="31">
        <v>0</v>
      </c>
      <c r="T254" s="31">
        <v>0</v>
      </c>
      <c r="U254" s="31">
        <v>0</v>
      </c>
      <c r="V254" s="31">
        <v>0</v>
      </c>
      <c r="W254" s="31">
        <v>0</v>
      </c>
      <c r="X254" s="31">
        <v>0</v>
      </c>
      <c r="Y254" s="31">
        <v>0</v>
      </c>
      <c r="Z254" s="31">
        <v>0</v>
      </c>
      <c r="AA254" s="31">
        <v>0</v>
      </c>
      <c r="AB254" s="31">
        <v>0</v>
      </c>
      <c r="AC254" s="31">
        <f>ROUND((E254+F254+G254+H254+I254+J254)*1.5%,2)</f>
        <v>33937.03</v>
      </c>
      <c r="AD254" s="31">
        <v>0</v>
      </c>
      <c r="AE254" s="31">
        <v>0</v>
      </c>
      <c r="AF254" s="34" t="s">
        <v>274</v>
      </c>
      <c r="AG254" s="34">
        <v>2020</v>
      </c>
      <c r="AH254" s="35">
        <v>2020</v>
      </c>
      <c r="BZ254" s="71"/>
      <c r="CD254" s="20" t="e">
        <f t="shared" si="22"/>
        <v>#N/A</v>
      </c>
    </row>
    <row r="255" spans="1:82" ht="61.5" x14ac:dyDescent="0.85">
      <c r="A255" s="20">
        <v>1</v>
      </c>
      <c r="B255" s="66">
        <f>SUBTOTAL(103,$A$22:A255)</f>
        <v>229</v>
      </c>
      <c r="C255" s="24" t="s">
        <v>1216</v>
      </c>
      <c r="D255" s="31">
        <f t="shared" si="27"/>
        <v>4766824.05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3">
        <v>0</v>
      </c>
      <c r="L255" s="31">
        <v>0</v>
      </c>
      <c r="M255" s="31">
        <v>1264.96</v>
      </c>
      <c r="N255" s="31">
        <v>4696378.37</v>
      </c>
      <c r="O255" s="36">
        <v>0</v>
      </c>
      <c r="P255" s="36">
        <v>0</v>
      </c>
      <c r="Q255" s="31">
        <v>0</v>
      </c>
      <c r="R255" s="31">
        <v>0</v>
      </c>
      <c r="S255" s="31">
        <v>0</v>
      </c>
      <c r="T255" s="31">
        <v>0</v>
      </c>
      <c r="U255" s="31">
        <v>0</v>
      </c>
      <c r="V255" s="31">
        <v>0</v>
      </c>
      <c r="W255" s="31">
        <v>0</v>
      </c>
      <c r="X255" s="31">
        <v>0</v>
      </c>
      <c r="Y255" s="31">
        <v>0</v>
      </c>
      <c r="Z255" s="31">
        <v>0</v>
      </c>
      <c r="AA255" s="31">
        <v>0</v>
      </c>
      <c r="AB255" s="31">
        <v>0</v>
      </c>
      <c r="AC255" s="31">
        <f>ROUND(N255*1.5%,2)</f>
        <v>70445.679999999993</v>
      </c>
      <c r="AD255" s="31">
        <v>0</v>
      </c>
      <c r="AE255" s="31">
        <v>0</v>
      </c>
      <c r="AF255" s="34" t="s">
        <v>274</v>
      </c>
      <c r="AG255" s="34">
        <v>2020</v>
      </c>
      <c r="AH255" s="35">
        <v>2020</v>
      </c>
      <c r="BZ255" s="71"/>
      <c r="CD255" s="20">
        <f t="shared" si="22"/>
        <v>1264.96</v>
      </c>
    </row>
    <row r="256" spans="1:82" ht="61.5" x14ac:dyDescent="0.85">
      <c r="A256" s="20">
        <v>1</v>
      </c>
      <c r="B256" s="66">
        <f>SUBTOTAL(103,$A$22:A256)</f>
        <v>230</v>
      </c>
      <c r="C256" s="24" t="s">
        <v>1217</v>
      </c>
      <c r="D256" s="31">
        <f t="shared" si="27"/>
        <v>1562740.68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3">
        <v>0</v>
      </c>
      <c r="L256" s="31">
        <v>0</v>
      </c>
      <c r="M256" s="31">
        <v>0</v>
      </c>
      <c r="N256" s="31">
        <v>0</v>
      </c>
      <c r="O256" s="36">
        <v>0</v>
      </c>
      <c r="P256" s="36">
        <v>0</v>
      </c>
      <c r="Q256" s="31">
        <v>0</v>
      </c>
      <c r="R256" s="31">
        <v>0</v>
      </c>
      <c r="S256" s="31">
        <v>128</v>
      </c>
      <c r="T256" s="31">
        <v>1421419.39</v>
      </c>
      <c r="U256" s="31">
        <v>0</v>
      </c>
      <c r="V256" s="31">
        <v>0</v>
      </c>
      <c r="W256" s="31">
        <v>0</v>
      </c>
      <c r="X256" s="31">
        <v>0</v>
      </c>
      <c r="Y256" s="31">
        <v>0</v>
      </c>
      <c r="Z256" s="31">
        <v>0</v>
      </c>
      <c r="AA256" s="31">
        <v>0</v>
      </c>
      <c r="AB256" s="31">
        <v>0</v>
      </c>
      <c r="AC256" s="31">
        <f>ROUND(T256*1.5%,2)</f>
        <v>21321.29</v>
      </c>
      <c r="AD256" s="31">
        <v>0</v>
      </c>
      <c r="AE256" s="31">
        <v>120000</v>
      </c>
      <c r="AF256" s="34" t="s">
        <v>274</v>
      </c>
      <c r="AG256" s="34">
        <v>2020</v>
      </c>
      <c r="AH256" s="35">
        <v>2020</v>
      </c>
      <c r="BZ256" s="71"/>
      <c r="CD256" s="20" t="e">
        <f t="shared" si="22"/>
        <v>#N/A</v>
      </c>
    </row>
    <row r="257" spans="1:82" ht="61.5" x14ac:dyDescent="0.85">
      <c r="A257" s="20">
        <v>1</v>
      </c>
      <c r="B257" s="66">
        <f>SUBTOTAL(103,$A$22:A257)</f>
        <v>231</v>
      </c>
      <c r="C257" s="24" t="s">
        <v>1218</v>
      </c>
      <c r="D257" s="31">
        <f t="shared" si="27"/>
        <v>3767844.52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3">
        <v>0</v>
      </c>
      <c r="L257" s="31">
        <v>0</v>
      </c>
      <c r="M257" s="31">
        <v>781</v>
      </c>
      <c r="N257" s="31">
        <f>3334883.48+377278.61</f>
        <v>3712162.09</v>
      </c>
      <c r="O257" s="36">
        <v>0</v>
      </c>
      <c r="P257" s="36">
        <v>0</v>
      </c>
      <c r="Q257" s="31">
        <v>0</v>
      </c>
      <c r="R257" s="31">
        <v>0</v>
      </c>
      <c r="S257" s="31">
        <v>0</v>
      </c>
      <c r="T257" s="31">
        <v>0</v>
      </c>
      <c r="U257" s="31">
        <v>0</v>
      </c>
      <c r="V257" s="31">
        <v>0</v>
      </c>
      <c r="W257" s="31">
        <v>0</v>
      </c>
      <c r="X257" s="31">
        <v>0</v>
      </c>
      <c r="Y257" s="31">
        <v>0</v>
      </c>
      <c r="Z257" s="31">
        <v>0</v>
      </c>
      <c r="AA257" s="31">
        <v>0</v>
      </c>
      <c r="AB257" s="31">
        <v>0</v>
      </c>
      <c r="AC257" s="31">
        <f>ROUND(N257*1.5%,2)</f>
        <v>55682.43</v>
      </c>
      <c r="AD257" s="31">
        <v>0</v>
      </c>
      <c r="AE257" s="31">
        <v>0</v>
      </c>
      <c r="AF257" s="34" t="s">
        <v>274</v>
      </c>
      <c r="AG257" s="34">
        <v>2020</v>
      </c>
      <c r="AH257" s="35">
        <v>2020</v>
      </c>
      <c r="BZ257" s="71"/>
      <c r="CD257" s="20">
        <f t="shared" si="22"/>
        <v>781</v>
      </c>
    </row>
    <row r="258" spans="1:82" ht="61.5" x14ac:dyDescent="0.85">
      <c r="A258" s="20">
        <v>1</v>
      </c>
      <c r="B258" s="66">
        <f>SUBTOTAL(103,$A$22:A258)</f>
        <v>232</v>
      </c>
      <c r="C258" s="24" t="s">
        <v>1219</v>
      </c>
      <c r="D258" s="31">
        <f t="shared" si="27"/>
        <v>6209520.0999999996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3">
        <v>0</v>
      </c>
      <c r="L258" s="31">
        <v>0</v>
      </c>
      <c r="M258" s="31">
        <v>2073.9</v>
      </c>
      <c r="N258" s="31">
        <v>6117753.79</v>
      </c>
      <c r="O258" s="36">
        <v>0</v>
      </c>
      <c r="P258" s="36">
        <v>0</v>
      </c>
      <c r="Q258" s="31">
        <v>0</v>
      </c>
      <c r="R258" s="31">
        <v>0</v>
      </c>
      <c r="S258" s="31">
        <v>0</v>
      </c>
      <c r="T258" s="31">
        <v>0</v>
      </c>
      <c r="U258" s="31">
        <v>0</v>
      </c>
      <c r="V258" s="31">
        <v>0</v>
      </c>
      <c r="W258" s="31">
        <v>0</v>
      </c>
      <c r="X258" s="31">
        <v>0</v>
      </c>
      <c r="Y258" s="31">
        <v>0</v>
      </c>
      <c r="Z258" s="31">
        <v>0</v>
      </c>
      <c r="AA258" s="31">
        <v>0</v>
      </c>
      <c r="AB258" s="31">
        <v>0</v>
      </c>
      <c r="AC258" s="31">
        <f>ROUND(N258*1.5%,2)</f>
        <v>91766.31</v>
      </c>
      <c r="AD258" s="31">
        <v>0</v>
      </c>
      <c r="AE258" s="31">
        <v>0</v>
      </c>
      <c r="AF258" s="34" t="s">
        <v>274</v>
      </c>
      <c r="AG258" s="34">
        <v>2020</v>
      </c>
      <c r="AH258" s="35">
        <v>2020</v>
      </c>
      <c r="BZ258" s="71"/>
      <c r="CD258" s="20">
        <f t="shared" si="22"/>
        <v>2073.9</v>
      </c>
    </row>
    <row r="259" spans="1:82" ht="61.5" x14ac:dyDescent="0.85">
      <c r="A259" s="20">
        <v>1</v>
      </c>
      <c r="B259" s="66">
        <f>SUBTOTAL(103,$A$22:A259)</f>
        <v>233</v>
      </c>
      <c r="C259" s="24" t="s">
        <v>1220</v>
      </c>
      <c r="D259" s="31">
        <f t="shared" si="27"/>
        <v>732022.04</v>
      </c>
      <c r="E259" s="36">
        <v>0</v>
      </c>
      <c r="F259" s="36">
        <v>0</v>
      </c>
      <c r="G259" s="36">
        <v>567639.41</v>
      </c>
      <c r="H259" s="36">
        <v>153564.57</v>
      </c>
      <c r="I259" s="36">
        <v>0</v>
      </c>
      <c r="J259" s="36">
        <v>0</v>
      </c>
      <c r="K259" s="33">
        <v>0</v>
      </c>
      <c r="L259" s="31">
        <v>0</v>
      </c>
      <c r="M259" s="31">
        <v>0</v>
      </c>
      <c r="N259" s="31">
        <v>0</v>
      </c>
      <c r="O259" s="36">
        <v>0</v>
      </c>
      <c r="P259" s="36">
        <v>0</v>
      </c>
      <c r="Q259" s="31">
        <v>0</v>
      </c>
      <c r="R259" s="31">
        <v>0</v>
      </c>
      <c r="S259" s="31">
        <v>0</v>
      </c>
      <c r="T259" s="31">
        <v>0</v>
      </c>
      <c r="U259" s="31">
        <v>0</v>
      </c>
      <c r="V259" s="31">
        <v>0</v>
      </c>
      <c r="W259" s="31">
        <v>0</v>
      </c>
      <c r="X259" s="31">
        <v>0</v>
      </c>
      <c r="Y259" s="31">
        <v>0</v>
      </c>
      <c r="Z259" s="31">
        <v>0</v>
      </c>
      <c r="AA259" s="31">
        <v>0</v>
      </c>
      <c r="AB259" s="31">
        <v>0</v>
      </c>
      <c r="AC259" s="31">
        <f>ROUND((E259+F259+G259+H259+I259+J259)*1.5%,2)</f>
        <v>10818.06</v>
      </c>
      <c r="AD259" s="31">
        <v>0</v>
      </c>
      <c r="AE259" s="31">
        <v>0</v>
      </c>
      <c r="AF259" s="34" t="s">
        <v>274</v>
      </c>
      <c r="AG259" s="34">
        <v>2020</v>
      </c>
      <c r="AH259" s="35">
        <v>2020</v>
      </c>
      <c r="BZ259" s="71"/>
      <c r="CD259" s="20" t="e">
        <f t="shared" si="22"/>
        <v>#N/A</v>
      </c>
    </row>
    <row r="260" spans="1:82" ht="61.5" x14ac:dyDescent="0.85">
      <c r="A260" s="20">
        <v>1</v>
      </c>
      <c r="B260" s="66">
        <f>SUBTOTAL(103,$A$22:A260)</f>
        <v>234</v>
      </c>
      <c r="C260" s="24" t="s">
        <v>1221</v>
      </c>
      <c r="D260" s="31">
        <f t="shared" si="27"/>
        <v>4782270.82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3">
        <v>0</v>
      </c>
      <c r="L260" s="31">
        <v>0</v>
      </c>
      <c r="M260" s="31">
        <v>1174.5999999999999</v>
      </c>
      <c r="N260" s="31">
        <v>4711596.87</v>
      </c>
      <c r="O260" s="36">
        <v>0</v>
      </c>
      <c r="P260" s="36">
        <v>0</v>
      </c>
      <c r="Q260" s="31">
        <v>0</v>
      </c>
      <c r="R260" s="31">
        <v>0</v>
      </c>
      <c r="S260" s="31">
        <v>0</v>
      </c>
      <c r="T260" s="31">
        <v>0</v>
      </c>
      <c r="U260" s="31">
        <v>0</v>
      </c>
      <c r="V260" s="31">
        <v>0</v>
      </c>
      <c r="W260" s="31">
        <v>0</v>
      </c>
      <c r="X260" s="31">
        <v>0</v>
      </c>
      <c r="Y260" s="31">
        <v>0</v>
      </c>
      <c r="Z260" s="31">
        <v>0</v>
      </c>
      <c r="AA260" s="31">
        <v>0</v>
      </c>
      <c r="AB260" s="31">
        <v>0</v>
      </c>
      <c r="AC260" s="31">
        <f>ROUND(N260*1.5%,2)</f>
        <v>70673.95</v>
      </c>
      <c r="AD260" s="31">
        <v>0</v>
      </c>
      <c r="AE260" s="31">
        <v>0</v>
      </c>
      <c r="AF260" s="34" t="s">
        <v>274</v>
      </c>
      <c r="AG260" s="34">
        <v>2020</v>
      </c>
      <c r="AH260" s="35">
        <v>2020</v>
      </c>
      <c r="BZ260" s="71"/>
      <c r="CD260" s="20">
        <f t="shared" si="22"/>
        <v>1174.18</v>
      </c>
    </row>
    <row r="261" spans="1:82" ht="61.5" x14ac:dyDescent="0.85">
      <c r="A261" s="20">
        <v>1</v>
      </c>
      <c r="B261" s="66">
        <f>SUBTOTAL(103,$A$22:A261)</f>
        <v>235</v>
      </c>
      <c r="C261" s="24" t="s">
        <v>1222</v>
      </c>
      <c r="D261" s="31">
        <f t="shared" si="27"/>
        <v>2613308.5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3">
        <v>0</v>
      </c>
      <c r="L261" s="31">
        <v>0</v>
      </c>
      <c r="M261" s="31">
        <v>484</v>
      </c>
      <c r="N261" s="31">
        <v>2574688.1800000002</v>
      </c>
      <c r="O261" s="36">
        <v>0</v>
      </c>
      <c r="P261" s="36">
        <v>0</v>
      </c>
      <c r="Q261" s="31">
        <v>0</v>
      </c>
      <c r="R261" s="31">
        <v>0</v>
      </c>
      <c r="S261" s="31">
        <v>0</v>
      </c>
      <c r="T261" s="31">
        <v>0</v>
      </c>
      <c r="U261" s="31">
        <v>0</v>
      </c>
      <c r="V261" s="31">
        <v>0</v>
      </c>
      <c r="W261" s="31">
        <v>0</v>
      </c>
      <c r="X261" s="31">
        <v>0</v>
      </c>
      <c r="Y261" s="31">
        <v>0</v>
      </c>
      <c r="Z261" s="31">
        <v>0</v>
      </c>
      <c r="AA261" s="31">
        <v>0</v>
      </c>
      <c r="AB261" s="31">
        <v>0</v>
      </c>
      <c r="AC261" s="31">
        <f>ROUND(N261*1.5%,2)</f>
        <v>38620.32</v>
      </c>
      <c r="AD261" s="31">
        <v>0</v>
      </c>
      <c r="AE261" s="31">
        <v>0</v>
      </c>
      <c r="AF261" s="34" t="s">
        <v>274</v>
      </c>
      <c r="AG261" s="34">
        <v>2020</v>
      </c>
      <c r="AH261" s="35">
        <v>2020</v>
      </c>
      <c r="BZ261" s="71"/>
      <c r="CD261" s="20">
        <f t="shared" si="22"/>
        <v>484</v>
      </c>
    </row>
    <row r="262" spans="1:82" ht="61.5" x14ac:dyDescent="0.85">
      <c r="A262" s="20">
        <v>1</v>
      </c>
      <c r="B262" s="66">
        <f>SUBTOTAL(103,$A$22:A262)</f>
        <v>236</v>
      </c>
      <c r="C262" s="24" t="s">
        <v>1383</v>
      </c>
      <c r="D262" s="31">
        <f t="shared" si="27"/>
        <v>2732414.26</v>
      </c>
      <c r="E262" s="31">
        <v>0</v>
      </c>
      <c r="F262" s="31">
        <v>0</v>
      </c>
      <c r="G262" s="31">
        <v>0</v>
      </c>
      <c r="H262" s="31">
        <v>0</v>
      </c>
      <c r="I262" s="31">
        <v>0</v>
      </c>
      <c r="J262" s="31">
        <v>0</v>
      </c>
      <c r="K262" s="33">
        <v>0</v>
      </c>
      <c r="L262" s="31">
        <v>0</v>
      </c>
      <c r="M262" s="31">
        <v>439.23</v>
      </c>
      <c r="N262" s="31">
        <f>2334221.95+307581.97</f>
        <v>2641803.92</v>
      </c>
      <c r="O262" s="31">
        <v>0</v>
      </c>
      <c r="P262" s="31">
        <v>0</v>
      </c>
      <c r="Q262" s="31">
        <v>0</v>
      </c>
      <c r="R262" s="31">
        <v>0</v>
      </c>
      <c r="S262" s="31">
        <v>0</v>
      </c>
      <c r="T262" s="31">
        <v>0</v>
      </c>
      <c r="U262" s="31">
        <v>0</v>
      </c>
      <c r="V262" s="31">
        <v>0</v>
      </c>
      <c r="W262" s="31">
        <v>0</v>
      </c>
      <c r="X262" s="31">
        <v>0</v>
      </c>
      <c r="Y262" s="31">
        <v>0</v>
      </c>
      <c r="Z262" s="31">
        <v>0</v>
      </c>
      <c r="AA262" s="31">
        <v>0</v>
      </c>
      <c r="AB262" s="31">
        <v>0</v>
      </c>
      <c r="AC262" s="31">
        <f>ROUND(N262*1.5%,2)</f>
        <v>39627.06</v>
      </c>
      <c r="AD262" s="31">
        <v>50983.28</v>
      </c>
      <c r="AE262" s="31">
        <v>0</v>
      </c>
      <c r="AF262" s="34">
        <v>2020</v>
      </c>
      <c r="AG262" s="34">
        <v>2020</v>
      </c>
      <c r="AH262" s="35">
        <v>2020</v>
      </c>
      <c r="BZ262" s="71"/>
      <c r="CD262" s="20" t="e">
        <f t="shared" si="22"/>
        <v>#N/A</v>
      </c>
    </row>
    <row r="263" spans="1:82" ht="61.5" x14ac:dyDescent="0.85">
      <c r="A263" s="20">
        <v>1</v>
      </c>
      <c r="B263" s="66">
        <f>SUBTOTAL(103,$A$22:A263)</f>
        <v>237</v>
      </c>
      <c r="C263" s="24" t="s">
        <v>1382</v>
      </c>
      <c r="D263" s="31">
        <f t="shared" si="27"/>
        <v>2367728.1</v>
      </c>
      <c r="E263" s="31">
        <v>0</v>
      </c>
      <c r="F263" s="31">
        <v>0</v>
      </c>
      <c r="G263" s="31">
        <v>0</v>
      </c>
      <c r="H263" s="31">
        <v>0</v>
      </c>
      <c r="I263" s="31">
        <v>0</v>
      </c>
      <c r="J263" s="31">
        <v>0</v>
      </c>
      <c r="K263" s="33">
        <v>0</v>
      </c>
      <c r="L263" s="31">
        <v>0</v>
      </c>
      <c r="M263" s="31">
        <v>524.41999999999996</v>
      </c>
      <c r="N263" s="31">
        <v>2284863.65</v>
      </c>
      <c r="O263" s="31">
        <v>0</v>
      </c>
      <c r="P263" s="31">
        <v>0</v>
      </c>
      <c r="Q263" s="31">
        <v>0</v>
      </c>
      <c r="R263" s="31">
        <v>0</v>
      </c>
      <c r="S263" s="31">
        <v>0</v>
      </c>
      <c r="T263" s="31">
        <v>0</v>
      </c>
      <c r="U263" s="31">
        <v>0</v>
      </c>
      <c r="V263" s="31">
        <v>0</v>
      </c>
      <c r="W263" s="31">
        <v>0</v>
      </c>
      <c r="X263" s="31">
        <v>0</v>
      </c>
      <c r="Y263" s="31">
        <v>0</v>
      </c>
      <c r="Z263" s="31">
        <v>0</v>
      </c>
      <c r="AA263" s="31">
        <v>0</v>
      </c>
      <c r="AB263" s="31">
        <v>0</v>
      </c>
      <c r="AC263" s="31">
        <f>ROUND(N263*1.5%,2)</f>
        <v>34272.949999999997</v>
      </c>
      <c r="AD263" s="31">
        <v>48591.5</v>
      </c>
      <c r="AE263" s="31">
        <v>0</v>
      </c>
      <c r="AF263" s="34">
        <v>2020</v>
      </c>
      <c r="AG263" s="34">
        <v>2020</v>
      </c>
      <c r="AH263" s="35">
        <v>2020</v>
      </c>
      <c r="BZ263" s="71"/>
      <c r="CD263" s="20" t="e">
        <f t="shared" si="22"/>
        <v>#N/A</v>
      </c>
    </row>
    <row r="264" spans="1:82" ht="61.5" x14ac:dyDescent="0.85">
      <c r="A264" s="20">
        <v>1</v>
      </c>
      <c r="B264" s="66">
        <f>SUBTOTAL(103,$A$22:A264)</f>
        <v>238</v>
      </c>
      <c r="C264" s="24" t="s">
        <v>1607</v>
      </c>
      <c r="D264" s="31">
        <f t="shared" si="27"/>
        <v>6349239.9500000002</v>
      </c>
      <c r="E264" s="31">
        <v>0</v>
      </c>
      <c r="F264" s="31">
        <v>0</v>
      </c>
      <c r="G264" s="31">
        <v>0</v>
      </c>
      <c r="H264" s="31">
        <v>0</v>
      </c>
      <c r="I264" s="31">
        <v>0</v>
      </c>
      <c r="J264" s="31">
        <v>0</v>
      </c>
      <c r="K264" s="33">
        <v>0</v>
      </c>
      <c r="L264" s="31">
        <v>0</v>
      </c>
      <c r="M264" s="31">
        <v>1010.5</v>
      </c>
      <c r="N264" s="31">
        <v>6055408.8200000003</v>
      </c>
      <c r="O264" s="31">
        <v>0</v>
      </c>
      <c r="P264" s="31">
        <v>0</v>
      </c>
      <c r="Q264" s="31">
        <v>0</v>
      </c>
      <c r="R264" s="31">
        <v>0</v>
      </c>
      <c r="S264" s="31">
        <v>0</v>
      </c>
      <c r="T264" s="31">
        <v>0</v>
      </c>
      <c r="U264" s="31">
        <v>0</v>
      </c>
      <c r="V264" s="31">
        <v>0</v>
      </c>
      <c r="W264" s="31">
        <v>0</v>
      </c>
      <c r="X264" s="31">
        <v>0</v>
      </c>
      <c r="Y264" s="31">
        <v>0</v>
      </c>
      <c r="Z264" s="31">
        <v>0</v>
      </c>
      <c r="AA264" s="31">
        <v>0</v>
      </c>
      <c r="AB264" s="31">
        <v>0</v>
      </c>
      <c r="AC264" s="31">
        <f>ROUND(N264*1.5%,2)</f>
        <v>90831.13</v>
      </c>
      <c r="AD264" s="31">
        <v>203000</v>
      </c>
      <c r="AE264" s="31">
        <v>0</v>
      </c>
      <c r="AF264" s="34">
        <v>2020</v>
      </c>
      <c r="AG264" s="34">
        <v>2020</v>
      </c>
      <c r="AH264" s="35">
        <v>2020</v>
      </c>
      <c r="BZ264" s="71"/>
      <c r="CD264" s="20" t="e">
        <f t="shared" si="22"/>
        <v>#N/A</v>
      </c>
    </row>
    <row r="265" spans="1:82" ht="61.5" x14ac:dyDescent="0.85">
      <c r="B265" s="24" t="s">
        <v>841</v>
      </c>
      <c r="C265" s="24"/>
      <c r="D265" s="31">
        <f>SUM(D266:D272)</f>
        <v>31393292.599999998</v>
      </c>
      <c r="E265" s="31">
        <f t="shared" ref="E265:AE265" si="29">SUM(E266:E272)</f>
        <v>145980.06</v>
      </c>
      <c r="F265" s="31">
        <f t="shared" si="29"/>
        <v>431178.77</v>
      </c>
      <c r="G265" s="31">
        <f t="shared" si="29"/>
        <v>2599107.0700000003</v>
      </c>
      <c r="H265" s="31">
        <f t="shared" si="29"/>
        <v>270735.94</v>
      </c>
      <c r="I265" s="31">
        <f t="shared" si="29"/>
        <v>0</v>
      </c>
      <c r="J265" s="31">
        <f t="shared" si="29"/>
        <v>0</v>
      </c>
      <c r="K265" s="33">
        <f t="shared" si="29"/>
        <v>0</v>
      </c>
      <c r="L265" s="31">
        <f t="shared" si="29"/>
        <v>0</v>
      </c>
      <c r="M265" s="31">
        <f t="shared" si="29"/>
        <v>5923.01</v>
      </c>
      <c r="N265" s="31">
        <f t="shared" si="29"/>
        <v>27141002.390000001</v>
      </c>
      <c r="O265" s="31">
        <f t="shared" si="29"/>
        <v>0</v>
      </c>
      <c r="P265" s="31">
        <f t="shared" si="29"/>
        <v>0</v>
      </c>
      <c r="Q265" s="31">
        <f t="shared" si="29"/>
        <v>0</v>
      </c>
      <c r="R265" s="31">
        <f t="shared" si="29"/>
        <v>0</v>
      </c>
      <c r="S265" s="31">
        <f t="shared" si="29"/>
        <v>0</v>
      </c>
      <c r="T265" s="31">
        <f t="shared" si="29"/>
        <v>0</v>
      </c>
      <c r="U265" s="31">
        <f t="shared" si="29"/>
        <v>0</v>
      </c>
      <c r="V265" s="31">
        <f t="shared" si="29"/>
        <v>0</v>
      </c>
      <c r="W265" s="31">
        <f t="shared" si="29"/>
        <v>0</v>
      </c>
      <c r="X265" s="31">
        <f t="shared" si="29"/>
        <v>0</v>
      </c>
      <c r="Y265" s="31">
        <f t="shared" si="29"/>
        <v>0</v>
      </c>
      <c r="Z265" s="31">
        <f t="shared" si="29"/>
        <v>0</v>
      </c>
      <c r="AA265" s="31">
        <f t="shared" si="29"/>
        <v>0</v>
      </c>
      <c r="AB265" s="31">
        <f t="shared" si="29"/>
        <v>0</v>
      </c>
      <c r="AC265" s="31">
        <f t="shared" si="29"/>
        <v>458820.06</v>
      </c>
      <c r="AD265" s="31">
        <f t="shared" si="29"/>
        <v>346468.31</v>
      </c>
      <c r="AE265" s="31">
        <f t="shared" si="29"/>
        <v>0</v>
      </c>
      <c r="AF265" s="72" t="s">
        <v>776</v>
      </c>
      <c r="AG265" s="72" t="s">
        <v>776</v>
      </c>
      <c r="AH265" s="89" t="s">
        <v>776</v>
      </c>
      <c r="AT265" s="20" t="e">
        <f>VLOOKUP(C265,AW:AX,2,FALSE)</f>
        <v>#N/A</v>
      </c>
      <c r="BZ265" s="71">
        <v>31393292.599999998</v>
      </c>
      <c r="CD265" s="20" t="e">
        <f t="shared" si="22"/>
        <v>#N/A</v>
      </c>
    </row>
    <row r="266" spans="1:82" ht="61.5" x14ac:dyDescent="0.85">
      <c r="A266" s="20">
        <v>1</v>
      </c>
      <c r="B266" s="66">
        <f>SUBTOTAL(103,$A$22:A266)</f>
        <v>239</v>
      </c>
      <c r="C266" s="24" t="s">
        <v>657</v>
      </c>
      <c r="D266" s="31">
        <f t="shared" ref="D266:D272" si="30">E266+F266+G266+H266+I266+J266+L266+N266+P266+R266+T266+U266+V266+W266+X266+Y266+Z266+AA266+AB266+AC266+AD266+AE266</f>
        <v>7597136.8899999997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3">
        <v>0</v>
      </c>
      <c r="L266" s="31">
        <v>0</v>
      </c>
      <c r="M266" s="31">
        <v>1399.31</v>
      </c>
      <c r="N266" s="31">
        <f>6710298.29+600000</f>
        <v>7310298.29</v>
      </c>
      <c r="O266" s="36">
        <v>0</v>
      </c>
      <c r="P266" s="36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f>ROUND(N266*1.5%,2)</f>
        <v>109654.47</v>
      </c>
      <c r="AD266" s="31">
        <v>177184.13</v>
      </c>
      <c r="AE266" s="31">
        <v>0</v>
      </c>
      <c r="AF266" s="34">
        <v>2020</v>
      </c>
      <c r="AG266" s="34">
        <v>2020</v>
      </c>
      <c r="AH266" s="35">
        <v>2020</v>
      </c>
      <c r="AT266" s="20" t="e">
        <f>VLOOKUP(C266,AW:AX,2,FALSE)</f>
        <v>#N/A</v>
      </c>
      <c r="BZ266" s="71"/>
      <c r="CD266" s="20" t="e">
        <f t="shared" si="22"/>
        <v>#N/A</v>
      </c>
    </row>
    <row r="267" spans="1:82" ht="61.5" x14ac:dyDescent="0.85">
      <c r="A267" s="20">
        <v>1</v>
      </c>
      <c r="B267" s="66">
        <f>SUBTOTAL(103,$A$22:A267)</f>
        <v>240</v>
      </c>
      <c r="C267" s="24" t="s">
        <v>663</v>
      </c>
      <c r="D267" s="31">
        <f t="shared" si="30"/>
        <v>6332587.8299999991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3">
        <v>0</v>
      </c>
      <c r="L267" s="31">
        <v>0</v>
      </c>
      <c r="M267" s="31">
        <v>1122.5</v>
      </c>
      <c r="N267" s="31">
        <f>5347793.1+724427.24</f>
        <v>6072220.3399999999</v>
      </c>
      <c r="O267" s="36">
        <v>0</v>
      </c>
      <c r="P267" s="36">
        <v>0</v>
      </c>
      <c r="Q267" s="31">
        <v>0</v>
      </c>
      <c r="R267" s="31">
        <v>0</v>
      </c>
      <c r="S267" s="31">
        <v>0</v>
      </c>
      <c r="T267" s="31">
        <v>0</v>
      </c>
      <c r="U267" s="31">
        <v>0</v>
      </c>
      <c r="V267" s="31">
        <v>0</v>
      </c>
      <c r="W267" s="31">
        <v>0</v>
      </c>
      <c r="X267" s="31">
        <v>0</v>
      </c>
      <c r="Y267" s="31">
        <v>0</v>
      </c>
      <c r="Z267" s="31">
        <v>0</v>
      </c>
      <c r="AA267" s="31">
        <v>0</v>
      </c>
      <c r="AB267" s="31">
        <v>0</v>
      </c>
      <c r="AC267" s="31">
        <f>ROUND(N267*1.5%,2)</f>
        <v>91083.31</v>
      </c>
      <c r="AD267" s="31">
        <v>169284.18</v>
      </c>
      <c r="AE267" s="31">
        <v>0</v>
      </c>
      <c r="AF267" s="34">
        <v>2020</v>
      </c>
      <c r="AG267" s="34">
        <v>2020</v>
      </c>
      <c r="AH267" s="35">
        <v>2020</v>
      </c>
      <c r="AT267" s="20" t="e">
        <f>VLOOKUP(C267,AW:AX,2,FALSE)</f>
        <v>#N/A</v>
      </c>
      <c r="BZ267" s="71"/>
      <c r="CD267" s="20" t="e">
        <f t="shared" si="22"/>
        <v>#N/A</v>
      </c>
    </row>
    <row r="268" spans="1:82" ht="61.5" x14ac:dyDescent="0.85">
      <c r="A268" s="20">
        <v>1</v>
      </c>
      <c r="B268" s="66">
        <f>SUBTOTAL(103,$A$22:A268)</f>
        <v>241</v>
      </c>
      <c r="C268" s="24" t="s">
        <v>1223</v>
      </c>
      <c r="D268" s="31">
        <f t="shared" si="30"/>
        <v>5003194.3900000006</v>
      </c>
      <c r="E268" s="36">
        <v>0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3">
        <v>0</v>
      </c>
      <c r="L268" s="31">
        <v>0</v>
      </c>
      <c r="M268" s="31">
        <v>1161</v>
      </c>
      <c r="N268" s="31">
        <v>4929255.5600000005</v>
      </c>
      <c r="O268" s="36">
        <v>0</v>
      </c>
      <c r="P268" s="36">
        <v>0</v>
      </c>
      <c r="Q268" s="31">
        <v>0</v>
      </c>
      <c r="R268" s="31">
        <v>0</v>
      </c>
      <c r="S268" s="31">
        <v>0</v>
      </c>
      <c r="T268" s="31">
        <v>0</v>
      </c>
      <c r="U268" s="31">
        <v>0</v>
      </c>
      <c r="V268" s="31">
        <v>0</v>
      </c>
      <c r="W268" s="31">
        <v>0</v>
      </c>
      <c r="X268" s="31">
        <v>0</v>
      </c>
      <c r="Y268" s="31">
        <v>0</v>
      </c>
      <c r="Z268" s="31">
        <v>0</v>
      </c>
      <c r="AA268" s="31">
        <v>0</v>
      </c>
      <c r="AB268" s="31">
        <v>0</v>
      </c>
      <c r="AC268" s="31">
        <f>ROUND(N268*1.5%,2)</f>
        <v>73938.83</v>
      </c>
      <c r="AD268" s="31">
        <v>0</v>
      </c>
      <c r="AE268" s="31">
        <v>0</v>
      </c>
      <c r="AF268" s="34" t="s">
        <v>274</v>
      </c>
      <c r="AG268" s="34">
        <v>2020</v>
      </c>
      <c r="AH268" s="35">
        <v>2020</v>
      </c>
      <c r="BZ268" s="71"/>
      <c r="CD268" s="20">
        <f t="shared" si="22"/>
        <v>1161</v>
      </c>
    </row>
    <row r="269" spans="1:82" ht="61.5" x14ac:dyDescent="0.85">
      <c r="A269" s="20">
        <v>1</v>
      </c>
      <c r="B269" s="66">
        <f>SUBTOTAL(103,$A$22:A269)</f>
        <v>242</v>
      </c>
      <c r="C269" s="24" t="s">
        <v>1224</v>
      </c>
      <c r="D269" s="31">
        <f t="shared" si="30"/>
        <v>3498706.87</v>
      </c>
      <c r="E269" s="36">
        <v>145980.06</v>
      </c>
      <c r="F269" s="36">
        <v>431178.77</v>
      </c>
      <c r="G269" s="36">
        <v>2599107.0700000003</v>
      </c>
      <c r="H269" s="36">
        <v>270735.94</v>
      </c>
      <c r="I269" s="36">
        <v>0</v>
      </c>
      <c r="J269" s="36">
        <v>0</v>
      </c>
      <c r="K269" s="33">
        <v>0</v>
      </c>
      <c r="L269" s="31">
        <v>0</v>
      </c>
      <c r="M269" s="31">
        <v>0</v>
      </c>
      <c r="N269" s="31">
        <v>0</v>
      </c>
      <c r="O269" s="36">
        <v>0</v>
      </c>
      <c r="P269" s="36">
        <v>0</v>
      </c>
      <c r="Q269" s="31">
        <v>0</v>
      </c>
      <c r="R269" s="31">
        <v>0</v>
      </c>
      <c r="S269" s="31">
        <v>0</v>
      </c>
      <c r="T269" s="31">
        <v>0</v>
      </c>
      <c r="U269" s="31">
        <v>0</v>
      </c>
      <c r="V269" s="31">
        <v>0</v>
      </c>
      <c r="W269" s="31">
        <v>0</v>
      </c>
      <c r="X269" s="31">
        <v>0</v>
      </c>
      <c r="Y269" s="31">
        <v>0</v>
      </c>
      <c r="Z269" s="31">
        <v>0</v>
      </c>
      <c r="AA269" s="31">
        <v>0</v>
      </c>
      <c r="AB269" s="31">
        <v>0</v>
      </c>
      <c r="AC269" s="31">
        <f>ROUND((E269+F269+G269+H269+I269+J269)*1.5%,2)</f>
        <v>51705.03</v>
      </c>
      <c r="AD269" s="31">
        <v>0</v>
      </c>
      <c r="AE269" s="31">
        <v>0</v>
      </c>
      <c r="AF269" s="34" t="s">
        <v>274</v>
      </c>
      <c r="AG269" s="34">
        <v>2020</v>
      </c>
      <c r="AH269" s="35">
        <v>2020</v>
      </c>
      <c r="BZ269" s="71"/>
      <c r="CD269" s="20" t="e">
        <f t="shared" si="22"/>
        <v>#N/A</v>
      </c>
    </row>
    <row r="270" spans="1:82" ht="61.5" x14ac:dyDescent="0.85">
      <c r="A270" s="20">
        <v>1</v>
      </c>
      <c r="B270" s="66">
        <f>SUBTOTAL(103,$A$22:A270)</f>
        <v>243</v>
      </c>
      <c r="C270" s="24" t="s">
        <v>1225</v>
      </c>
      <c r="D270" s="31">
        <f t="shared" si="30"/>
        <v>1670690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3">
        <v>0</v>
      </c>
      <c r="L270" s="31">
        <v>0</v>
      </c>
      <c r="M270" s="31">
        <v>452.1</v>
      </c>
      <c r="N270" s="31">
        <v>1646000</v>
      </c>
      <c r="O270" s="36">
        <v>0</v>
      </c>
      <c r="P270" s="36">
        <v>0</v>
      </c>
      <c r="Q270" s="31">
        <v>0</v>
      </c>
      <c r="R270" s="31">
        <v>0</v>
      </c>
      <c r="S270" s="31">
        <v>0</v>
      </c>
      <c r="T270" s="31">
        <v>0</v>
      </c>
      <c r="U270" s="31">
        <v>0</v>
      </c>
      <c r="V270" s="31">
        <v>0</v>
      </c>
      <c r="W270" s="31">
        <v>0</v>
      </c>
      <c r="X270" s="31">
        <v>0</v>
      </c>
      <c r="Y270" s="31">
        <v>0</v>
      </c>
      <c r="Z270" s="31">
        <v>0</v>
      </c>
      <c r="AA270" s="31">
        <v>0</v>
      </c>
      <c r="AB270" s="31">
        <v>0</v>
      </c>
      <c r="AC270" s="31">
        <f>ROUND(N270*1.5%,2)</f>
        <v>24690</v>
      </c>
      <c r="AD270" s="31">
        <v>0</v>
      </c>
      <c r="AE270" s="31">
        <v>0</v>
      </c>
      <c r="AF270" s="34" t="s">
        <v>274</v>
      </c>
      <c r="AG270" s="34">
        <v>2020</v>
      </c>
      <c r="AH270" s="35">
        <v>2020</v>
      </c>
      <c r="BZ270" s="71"/>
      <c r="CD270" s="20">
        <f t="shared" si="22"/>
        <v>452.1</v>
      </c>
    </row>
    <row r="271" spans="1:82" ht="61.5" x14ac:dyDescent="0.85">
      <c r="A271" s="20">
        <v>1</v>
      </c>
      <c r="B271" s="66">
        <f>SUBTOTAL(103,$A$22:A271)</f>
        <v>244</v>
      </c>
      <c r="C271" s="24" t="s">
        <v>1226</v>
      </c>
      <c r="D271" s="31">
        <f t="shared" si="30"/>
        <v>4024342.92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3">
        <v>0</v>
      </c>
      <c r="L271" s="31">
        <v>0</v>
      </c>
      <c r="M271" s="31">
        <v>992</v>
      </c>
      <c r="N271" s="31">
        <f>3967226.64-2356.77</f>
        <v>3964869.87</v>
      </c>
      <c r="O271" s="36">
        <v>0</v>
      </c>
      <c r="P271" s="36">
        <v>0</v>
      </c>
      <c r="Q271" s="31">
        <v>0</v>
      </c>
      <c r="R271" s="31">
        <v>0</v>
      </c>
      <c r="S271" s="31">
        <v>0</v>
      </c>
      <c r="T271" s="31">
        <v>0</v>
      </c>
      <c r="U271" s="31">
        <v>0</v>
      </c>
      <c r="V271" s="31">
        <v>0</v>
      </c>
      <c r="W271" s="31">
        <v>0</v>
      </c>
      <c r="X271" s="31">
        <v>0</v>
      </c>
      <c r="Y271" s="31">
        <v>0</v>
      </c>
      <c r="Z271" s="31">
        <v>0</v>
      </c>
      <c r="AA271" s="31">
        <v>0</v>
      </c>
      <c r="AB271" s="31">
        <v>0</v>
      </c>
      <c r="AC271" s="31">
        <f>ROUND(N271*1.5%,2)</f>
        <v>59473.05</v>
      </c>
      <c r="AD271" s="31">
        <v>0</v>
      </c>
      <c r="AE271" s="31">
        <v>0</v>
      </c>
      <c r="AF271" s="34" t="s">
        <v>274</v>
      </c>
      <c r="AG271" s="34">
        <v>2020</v>
      </c>
      <c r="AH271" s="35">
        <v>2020</v>
      </c>
      <c r="BZ271" s="71"/>
      <c r="CD271" s="20">
        <f t="shared" si="22"/>
        <v>992</v>
      </c>
    </row>
    <row r="272" spans="1:82" ht="61.5" x14ac:dyDescent="0.85">
      <c r="A272" s="20">
        <v>1</v>
      </c>
      <c r="B272" s="66">
        <f>SUBTOTAL(103,$A$22:A272)</f>
        <v>245</v>
      </c>
      <c r="C272" s="24" t="s">
        <v>661</v>
      </c>
      <c r="D272" s="31">
        <f t="shared" si="30"/>
        <v>3266633.7</v>
      </c>
      <c r="E272" s="36">
        <v>0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3">
        <v>0</v>
      </c>
      <c r="L272" s="31">
        <v>0</v>
      </c>
      <c r="M272" s="31">
        <v>796.1</v>
      </c>
      <c r="N272" s="31">
        <v>3218358.33</v>
      </c>
      <c r="O272" s="36">
        <v>0</v>
      </c>
      <c r="P272" s="36">
        <v>0</v>
      </c>
      <c r="Q272" s="31">
        <v>0</v>
      </c>
      <c r="R272" s="31">
        <v>0</v>
      </c>
      <c r="S272" s="31">
        <v>0</v>
      </c>
      <c r="T272" s="31">
        <v>0</v>
      </c>
      <c r="U272" s="31">
        <v>0</v>
      </c>
      <c r="V272" s="31">
        <v>0</v>
      </c>
      <c r="W272" s="31">
        <v>0</v>
      </c>
      <c r="X272" s="31">
        <v>0</v>
      </c>
      <c r="Y272" s="31">
        <v>0</v>
      </c>
      <c r="Z272" s="31">
        <v>0</v>
      </c>
      <c r="AA272" s="31">
        <v>0</v>
      </c>
      <c r="AB272" s="31">
        <v>0</v>
      </c>
      <c r="AC272" s="31">
        <f>ROUND(N272*1.5%,2)</f>
        <v>48275.37</v>
      </c>
      <c r="AD272" s="31">
        <v>0</v>
      </c>
      <c r="AE272" s="31">
        <v>0</v>
      </c>
      <c r="AF272" s="34" t="s">
        <v>274</v>
      </c>
      <c r="AG272" s="34">
        <v>2020</v>
      </c>
      <c r="AH272" s="35">
        <v>2020</v>
      </c>
      <c r="BZ272" s="71"/>
      <c r="CD272" s="20">
        <f t="shared" si="22"/>
        <v>796.1</v>
      </c>
    </row>
    <row r="273" spans="1:82" ht="61.5" x14ac:dyDescent="0.85">
      <c r="B273" s="24" t="s">
        <v>842</v>
      </c>
      <c r="C273" s="24"/>
      <c r="D273" s="31">
        <f>SUM(D274:D279)</f>
        <v>35599350.520000003</v>
      </c>
      <c r="E273" s="31">
        <f t="shared" ref="E273:AE273" si="31">SUM(E274:E279)</f>
        <v>0</v>
      </c>
      <c r="F273" s="31">
        <f t="shared" si="31"/>
        <v>0</v>
      </c>
      <c r="G273" s="31">
        <f t="shared" si="31"/>
        <v>0</v>
      </c>
      <c r="H273" s="31">
        <f t="shared" si="31"/>
        <v>0</v>
      </c>
      <c r="I273" s="31">
        <f t="shared" si="31"/>
        <v>0</v>
      </c>
      <c r="J273" s="31">
        <f t="shared" si="31"/>
        <v>0</v>
      </c>
      <c r="K273" s="33">
        <f t="shared" si="31"/>
        <v>0</v>
      </c>
      <c r="L273" s="31">
        <f t="shared" si="31"/>
        <v>0</v>
      </c>
      <c r="M273" s="31">
        <f t="shared" si="31"/>
        <v>5024.42</v>
      </c>
      <c r="N273" s="31">
        <f t="shared" si="31"/>
        <v>25057163.209999997</v>
      </c>
      <c r="O273" s="31">
        <f t="shared" si="31"/>
        <v>0</v>
      </c>
      <c r="P273" s="31">
        <f t="shared" si="31"/>
        <v>0</v>
      </c>
      <c r="Q273" s="31">
        <f t="shared" si="31"/>
        <v>3931.93</v>
      </c>
      <c r="R273" s="31">
        <f t="shared" si="31"/>
        <v>9444659.9700000007</v>
      </c>
      <c r="S273" s="31">
        <f t="shared" si="31"/>
        <v>0</v>
      </c>
      <c r="T273" s="31">
        <f t="shared" si="31"/>
        <v>0</v>
      </c>
      <c r="U273" s="31">
        <f t="shared" si="31"/>
        <v>0</v>
      </c>
      <c r="V273" s="31">
        <f t="shared" si="31"/>
        <v>0</v>
      </c>
      <c r="W273" s="31">
        <f t="shared" si="31"/>
        <v>0</v>
      </c>
      <c r="X273" s="31">
        <f t="shared" si="31"/>
        <v>0</v>
      </c>
      <c r="Y273" s="31">
        <f t="shared" si="31"/>
        <v>0</v>
      </c>
      <c r="Z273" s="31">
        <f t="shared" si="31"/>
        <v>0</v>
      </c>
      <c r="AA273" s="31">
        <f t="shared" si="31"/>
        <v>0</v>
      </c>
      <c r="AB273" s="31">
        <f t="shared" si="31"/>
        <v>0</v>
      </c>
      <c r="AC273" s="31">
        <f t="shared" si="31"/>
        <v>517527.34</v>
      </c>
      <c r="AD273" s="31">
        <f t="shared" si="31"/>
        <v>580000</v>
      </c>
      <c r="AE273" s="31">
        <f t="shared" si="31"/>
        <v>0</v>
      </c>
      <c r="AF273" s="72" t="s">
        <v>776</v>
      </c>
      <c r="AG273" s="72" t="s">
        <v>776</v>
      </c>
      <c r="AH273" s="89" t="s">
        <v>776</v>
      </c>
      <c r="AT273" s="20" t="e">
        <f>VLOOKUP(C273,AW:AX,2,FALSE)</f>
        <v>#N/A</v>
      </c>
      <c r="BZ273" s="71">
        <v>35599350.520000003</v>
      </c>
      <c r="CD273" s="20" t="e">
        <f t="shared" si="22"/>
        <v>#N/A</v>
      </c>
    </row>
    <row r="274" spans="1:82" ht="61.5" x14ac:dyDescent="0.85">
      <c r="A274" s="20">
        <v>1</v>
      </c>
      <c r="B274" s="66">
        <f>SUBTOTAL(103,$A$22:A274)</f>
        <v>246</v>
      </c>
      <c r="C274" s="24" t="s">
        <v>671</v>
      </c>
      <c r="D274" s="31">
        <f t="shared" ref="D274:D279" si="32">E274+F274+G274+H274+I274+J274+L274+N274+P274+R274+T274+U274+V274+W274+X274+Y274+Z274+AA274+AB274+AC274+AD274+AE274</f>
        <v>3549468.85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3">
        <v>0</v>
      </c>
      <c r="L274" s="31">
        <v>0</v>
      </c>
      <c r="M274" s="31">
        <v>374</v>
      </c>
      <c r="N274" s="31">
        <v>1852654</v>
      </c>
      <c r="O274" s="37">
        <v>0</v>
      </c>
      <c r="P274" s="37">
        <v>0</v>
      </c>
      <c r="Q274" s="31">
        <v>470.68</v>
      </c>
      <c r="R274" s="31">
        <v>1526133.04</v>
      </c>
      <c r="S274" s="31">
        <v>0</v>
      </c>
      <c r="T274" s="31">
        <v>0</v>
      </c>
      <c r="U274" s="31">
        <v>0</v>
      </c>
      <c r="V274" s="31">
        <v>0</v>
      </c>
      <c r="W274" s="31">
        <v>0</v>
      </c>
      <c r="X274" s="31">
        <v>0</v>
      </c>
      <c r="Y274" s="31">
        <v>0</v>
      </c>
      <c r="Z274" s="31">
        <v>0</v>
      </c>
      <c r="AA274" s="31">
        <v>0</v>
      </c>
      <c r="AB274" s="31">
        <v>0</v>
      </c>
      <c r="AC274" s="31">
        <f>ROUND((N274+R274)*1.5%,2)</f>
        <v>50681.81</v>
      </c>
      <c r="AD274" s="31">
        <v>120000</v>
      </c>
      <c r="AE274" s="31">
        <v>0</v>
      </c>
      <c r="AF274" s="34">
        <v>2020</v>
      </c>
      <c r="AG274" s="34">
        <v>2020</v>
      </c>
      <c r="AH274" s="35">
        <v>2020</v>
      </c>
      <c r="AT274" s="20" t="e">
        <f>VLOOKUP(C274,AW:AX,2,FALSE)</f>
        <v>#N/A</v>
      </c>
      <c r="BZ274" s="71"/>
      <c r="CD274" s="20" t="e">
        <f t="shared" si="22"/>
        <v>#N/A</v>
      </c>
    </row>
    <row r="275" spans="1:82" ht="61.5" x14ac:dyDescent="0.85">
      <c r="A275" s="20">
        <v>1</v>
      </c>
      <c r="B275" s="66">
        <f>SUBTOTAL(103,$A$22:A275)</f>
        <v>247</v>
      </c>
      <c r="C275" s="24" t="s">
        <v>665</v>
      </c>
      <c r="D275" s="31">
        <f t="shared" si="32"/>
        <v>3778176.65</v>
      </c>
      <c r="E275" s="36">
        <v>0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3">
        <v>0</v>
      </c>
      <c r="L275" s="31">
        <v>0</v>
      </c>
      <c r="M275" s="31">
        <v>723.65</v>
      </c>
      <c r="N275" s="31">
        <v>3574558.28</v>
      </c>
      <c r="O275" s="36">
        <v>0</v>
      </c>
      <c r="P275" s="36">
        <v>0</v>
      </c>
      <c r="Q275" s="31">
        <v>0</v>
      </c>
      <c r="R275" s="31">
        <v>0</v>
      </c>
      <c r="S275" s="31">
        <v>0</v>
      </c>
      <c r="T275" s="31">
        <v>0</v>
      </c>
      <c r="U275" s="31">
        <v>0</v>
      </c>
      <c r="V275" s="31">
        <v>0</v>
      </c>
      <c r="W275" s="31">
        <v>0</v>
      </c>
      <c r="X275" s="31">
        <v>0</v>
      </c>
      <c r="Y275" s="31">
        <v>0</v>
      </c>
      <c r="Z275" s="31">
        <v>0</v>
      </c>
      <c r="AA275" s="31">
        <v>0</v>
      </c>
      <c r="AB275" s="31">
        <v>0</v>
      </c>
      <c r="AC275" s="31">
        <f>ROUND(N275*1.5%,2)</f>
        <v>53618.37</v>
      </c>
      <c r="AD275" s="31">
        <v>150000</v>
      </c>
      <c r="AE275" s="31">
        <v>0</v>
      </c>
      <c r="AF275" s="34">
        <v>2020</v>
      </c>
      <c r="AG275" s="34">
        <v>2020</v>
      </c>
      <c r="AH275" s="35">
        <v>2020</v>
      </c>
      <c r="AT275" s="20" t="e">
        <f>VLOOKUP(C275,AW:AX,2,FALSE)</f>
        <v>#N/A</v>
      </c>
      <c r="BZ275" s="71"/>
      <c r="CD275" s="20" t="e">
        <f t="shared" si="22"/>
        <v>#N/A</v>
      </c>
    </row>
    <row r="276" spans="1:82" ht="61.5" x14ac:dyDescent="0.85">
      <c r="A276" s="20">
        <v>1</v>
      </c>
      <c r="B276" s="66">
        <f>SUBTOTAL(103,$A$22:A276)</f>
        <v>248</v>
      </c>
      <c r="C276" s="24" t="s">
        <v>670</v>
      </c>
      <c r="D276" s="31">
        <f t="shared" si="32"/>
        <v>6011459.4000000004</v>
      </c>
      <c r="E276" s="36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3">
        <v>0</v>
      </c>
      <c r="L276" s="31">
        <v>0</v>
      </c>
      <c r="M276" s="31">
        <v>1151.4000000000001</v>
      </c>
      <c r="N276" s="31">
        <v>5745280.2000000002</v>
      </c>
      <c r="O276" s="36">
        <v>0</v>
      </c>
      <c r="P276" s="36">
        <v>0</v>
      </c>
      <c r="Q276" s="31">
        <v>0</v>
      </c>
      <c r="R276" s="31">
        <v>0</v>
      </c>
      <c r="S276" s="31">
        <v>0</v>
      </c>
      <c r="T276" s="31">
        <v>0</v>
      </c>
      <c r="U276" s="31">
        <v>0</v>
      </c>
      <c r="V276" s="31">
        <v>0</v>
      </c>
      <c r="W276" s="31">
        <v>0</v>
      </c>
      <c r="X276" s="31">
        <v>0</v>
      </c>
      <c r="Y276" s="31">
        <v>0</v>
      </c>
      <c r="Z276" s="31">
        <v>0</v>
      </c>
      <c r="AA276" s="31">
        <v>0</v>
      </c>
      <c r="AB276" s="31">
        <v>0</v>
      </c>
      <c r="AC276" s="31">
        <f>ROUND(N276*1.5%,2)</f>
        <v>86179.199999999997</v>
      </c>
      <c r="AD276" s="31">
        <v>180000</v>
      </c>
      <c r="AE276" s="31">
        <v>0</v>
      </c>
      <c r="AF276" s="34">
        <v>2020</v>
      </c>
      <c r="AG276" s="34">
        <v>2020</v>
      </c>
      <c r="AH276" s="35">
        <v>2020</v>
      </c>
      <c r="AT276" s="20" t="e">
        <f>VLOOKUP(C276,AW:AX,2,FALSE)</f>
        <v>#N/A</v>
      </c>
      <c r="BZ276" s="71"/>
      <c r="CD276" s="20" t="e">
        <f t="shared" si="22"/>
        <v>#N/A</v>
      </c>
    </row>
    <row r="277" spans="1:82" ht="61.5" x14ac:dyDescent="0.85">
      <c r="A277" s="20">
        <v>1</v>
      </c>
      <c r="B277" s="66">
        <f>SUBTOTAL(103,$A$22:A277)</f>
        <v>249</v>
      </c>
      <c r="C277" s="24" t="s">
        <v>1227</v>
      </c>
      <c r="D277" s="31">
        <f t="shared" si="32"/>
        <v>8037304.830000001</v>
      </c>
      <c r="E277" s="36">
        <v>0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3">
        <v>0</v>
      </c>
      <c r="L277" s="31">
        <v>0</v>
      </c>
      <c r="M277" s="31">
        <v>0</v>
      </c>
      <c r="N277" s="31">
        <v>0</v>
      </c>
      <c r="O277" s="36">
        <v>0</v>
      </c>
      <c r="P277" s="36">
        <v>0</v>
      </c>
      <c r="Q277" s="31">
        <v>3461.25</v>
      </c>
      <c r="R277" s="31">
        <f>6030335.94+1888190.99</f>
        <v>7918526.9300000006</v>
      </c>
      <c r="S277" s="31">
        <v>0</v>
      </c>
      <c r="T277" s="31">
        <v>0</v>
      </c>
      <c r="U277" s="31">
        <v>0</v>
      </c>
      <c r="V277" s="31">
        <v>0</v>
      </c>
      <c r="W277" s="31">
        <v>0</v>
      </c>
      <c r="X277" s="31">
        <v>0</v>
      </c>
      <c r="Y277" s="31">
        <v>0</v>
      </c>
      <c r="Z277" s="31">
        <v>0</v>
      </c>
      <c r="AA277" s="31">
        <v>0</v>
      </c>
      <c r="AB277" s="31">
        <v>0</v>
      </c>
      <c r="AC277" s="31">
        <f>ROUND(R277*1.5%,2)</f>
        <v>118777.9</v>
      </c>
      <c r="AD277" s="31">
        <v>0</v>
      </c>
      <c r="AE277" s="31">
        <v>0</v>
      </c>
      <c r="AF277" s="34" t="s">
        <v>274</v>
      </c>
      <c r="AG277" s="34">
        <v>2020</v>
      </c>
      <c r="AH277" s="35">
        <v>2020</v>
      </c>
      <c r="BZ277" s="71"/>
      <c r="CD277" s="20" t="e">
        <f t="shared" si="22"/>
        <v>#N/A</v>
      </c>
    </row>
    <row r="278" spans="1:82" ht="61.5" x14ac:dyDescent="0.85">
      <c r="A278" s="20">
        <v>1</v>
      </c>
      <c r="B278" s="66">
        <f>SUBTOTAL(103,$A$22:A278)</f>
        <v>250</v>
      </c>
      <c r="C278" s="24" t="s">
        <v>1212</v>
      </c>
      <c r="D278" s="31">
        <f t="shared" si="32"/>
        <v>10475523.609999999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3">
        <v>0</v>
      </c>
      <c r="L278" s="31">
        <v>0</v>
      </c>
      <c r="M278" s="31">
        <v>1995.2</v>
      </c>
      <c r="N278" s="31">
        <v>10320712.92</v>
      </c>
      <c r="O278" s="36">
        <v>0</v>
      </c>
      <c r="P278" s="36">
        <v>0</v>
      </c>
      <c r="Q278" s="31">
        <v>0</v>
      </c>
      <c r="R278" s="31">
        <v>0</v>
      </c>
      <c r="S278" s="31">
        <v>0</v>
      </c>
      <c r="T278" s="31">
        <v>0</v>
      </c>
      <c r="U278" s="31">
        <v>0</v>
      </c>
      <c r="V278" s="31">
        <v>0</v>
      </c>
      <c r="W278" s="31">
        <v>0</v>
      </c>
      <c r="X278" s="31">
        <v>0</v>
      </c>
      <c r="Y278" s="31">
        <v>0</v>
      </c>
      <c r="Z278" s="31">
        <v>0</v>
      </c>
      <c r="AA278" s="31">
        <v>0</v>
      </c>
      <c r="AB278" s="31">
        <v>0</v>
      </c>
      <c r="AC278" s="31">
        <f>ROUND(N278*1.5%,2)</f>
        <v>154810.69</v>
      </c>
      <c r="AD278" s="31">
        <v>0</v>
      </c>
      <c r="AE278" s="31">
        <v>0</v>
      </c>
      <c r="AF278" s="34" t="s">
        <v>274</v>
      </c>
      <c r="AG278" s="34">
        <v>2020</v>
      </c>
      <c r="AH278" s="35">
        <v>2020</v>
      </c>
      <c r="BZ278" s="71"/>
      <c r="CD278" s="20">
        <f t="shared" si="22"/>
        <v>1995.2</v>
      </c>
    </row>
    <row r="279" spans="1:82" ht="61.5" x14ac:dyDescent="0.85">
      <c r="A279" s="20">
        <v>1</v>
      </c>
      <c r="B279" s="66">
        <f>SUBTOTAL(103,$A$22:A279)</f>
        <v>251</v>
      </c>
      <c r="C279" s="24" t="s">
        <v>1615</v>
      </c>
      <c r="D279" s="31">
        <f t="shared" si="32"/>
        <v>3747417.18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3">
        <v>0</v>
      </c>
      <c r="L279" s="31">
        <v>0</v>
      </c>
      <c r="M279" s="31">
        <v>780.17</v>
      </c>
      <c r="N279" s="31">
        <f>3479095.21+84862.6</f>
        <v>3563957.81</v>
      </c>
      <c r="O279" s="36">
        <v>0</v>
      </c>
      <c r="P279" s="36">
        <v>0</v>
      </c>
      <c r="Q279" s="31">
        <v>0</v>
      </c>
      <c r="R279" s="31">
        <v>0</v>
      </c>
      <c r="S279" s="31">
        <v>0</v>
      </c>
      <c r="T279" s="31">
        <v>0</v>
      </c>
      <c r="U279" s="31">
        <v>0</v>
      </c>
      <c r="V279" s="31">
        <v>0</v>
      </c>
      <c r="W279" s="31">
        <v>0</v>
      </c>
      <c r="X279" s="31">
        <v>0</v>
      </c>
      <c r="Y279" s="31">
        <v>0</v>
      </c>
      <c r="Z279" s="31">
        <v>0</v>
      </c>
      <c r="AA279" s="31">
        <v>0</v>
      </c>
      <c r="AB279" s="31">
        <v>0</v>
      </c>
      <c r="AC279" s="31">
        <f>ROUND(N279*1.5%,2)</f>
        <v>53459.37</v>
      </c>
      <c r="AD279" s="31">
        <v>130000</v>
      </c>
      <c r="AE279" s="31">
        <v>0</v>
      </c>
      <c r="AF279" s="34">
        <v>2020</v>
      </c>
      <c r="AG279" s="34">
        <v>2020</v>
      </c>
      <c r="AH279" s="35">
        <v>2020</v>
      </c>
      <c r="BZ279" s="71"/>
      <c r="CD279" s="20" t="e">
        <f t="shared" ref="CD279:CD342" si="33">VLOOKUP(C279,CE:CF,2,FALSE)</f>
        <v>#N/A</v>
      </c>
    </row>
    <row r="280" spans="1:82" ht="61.5" x14ac:dyDescent="0.85">
      <c r="B280" s="24" t="s">
        <v>843</v>
      </c>
      <c r="C280" s="24"/>
      <c r="D280" s="31">
        <f>SUM(D281:D284)</f>
        <v>17002898.350000001</v>
      </c>
      <c r="E280" s="31">
        <f t="shared" ref="E280:AE280" si="34">SUM(E281:E284)</f>
        <v>0</v>
      </c>
      <c r="F280" s="31">
        <f t="shared" si="34"/>
        <v>568509.12</v>
      </c>
      <c r="G280" s="31">
        <f t="shared" si="34"/>
        <v>2465318.6100000003</v>
      </c>
      <c r="H280" s="31">
        <f t="shared" si="34"/>
        <v>345280.61</v>
      </c>
      <c r="I280" s="31">
        <f t="shared" si="34"/>
        <v>0</v>
      </c>
      <c r="J280" s="31">
        <f t="shared" si="34"/>
        <v>0</v>
      </c>
      <c r="K280" s="33">
        <f t="shared" si="34"/>
        <v>0</v>
      </c>
      <c r="L280" s="31">
        <f t="shared" si="34"/>
        <v>0</v>
      </c>
      <c r="M280" s="31">
        <f t="shared" si="34"/>
        <v>3198.9</v>
      </c>
      <c r="N280" s="31">
        <f t="shared" si="34"/>
        <v>13047392.5</v>
      </c>
      <c r="O280" s="31">
        <f t="shared" si="34"/>
        <v>0</v>
      </c>
      <c r="P280" s="31">
        <f t="shared" si="34"/>
        <v>0</v>
      </c>
      <c r="Q280" s="31">
        <f t="shared" si="34"/>
        <v>0</v>
      </c>
      <c r="R280" s="31">
        <f t="shared" si="34"/>
        <v>0</v>
      </c>
      <c r="S280" s="31">
        <f t="shared" si="34"/>
        <v>0</v>
      </c>
      <c r="T280" s="31">
        <f t="shared" si="34"/>
        <v>0</v>
      </c>
      <c r="U280" s="31">
        <f t="shared" si="34"/>
        <v>0</v>
      </c>
      <c r="V280" s="31">
        <f t="shared" si="34"/>
        <v>0</v>
      </c>
      <c r="W280" s="31">
        <f t="shared" si="34"/>
        <v>0</v>
      </c>
      <c r="X280" s="31">
        <f t="shared" si="34"/>
        <v>0</v>
      </c>
      <c r="Y280" s="31">
        <f t="shared" si="34"/>
        <v>0</v>
      </c>
      <c r="Z280" s="31">
        <f t="shared" si="34"/>
        <v>0</v>
      </c>
      <c r="AA280" s="31">
        <f t="shared" si="34"/>
        <v>0</v>
      </c>
      <c r="AB280" s="31">
        <f t="shared" si="34"/>
        <v>0</v>
      </c>
      <c r="AC280" s="31">
        <f t="shared" si="34"/>
        <v>246397.50999999998</v>
      </c>
      <c r="AD280" s="31">
        <f t="shared" si="34"/>
        <v>330000</v>
      </c>
      <c r="AE280" s="31">
        <f t="shared" si="34"/>
        <v>0</v>
      </c>
      <c r="AF280" s="72" t="s">
        <v>776</v>
      </c>
      <c r="AG280" s="72" t="s">
        <v>776</v>
      </c>
      <c r="AH280" s="89" t="s">
        <v>776</v>
      </c>
      <c r="AT280" s="20" t="e">
        <f>VLOOKUP(C280,AW:AX,2,FALSE)</f>
        <v>#N/A</v>
      </c>
      <c r="BZ280" s="71">
        <v>17002898.350000001</v>
      </c>
      <c r="CD280" s="20" t="e">
        <f t="shared" si="33"/>
        <v>#N/A</v>
      </c>
    </row>
    <row r="281" spans="1:82" ht="61.5" x14ac:dyDescent="0.85">
      <c r="A281" s="20">
        <v>1</v>
      </c>
      <c r="B281" s="66">
        <f>SUBTOTAL(103,$A$22:A281)</f>
        <v>252</v>
      </c>
      <c r="C281" s="24" t="s">
        <v>675</v>
      </c>
      <c r="D281" s="31">
        <f>E281+F281+G281+H281+I281+J281+L281+N281+P281+R281+T281+U281+V281+W281+X281+Y281+Z281+AA281+AB281+AC281+AD281+AE281</f>
        <v>6202548</v>
      </c>
      <c r="E281" s="36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3">
        <v>0</v>
      </c>
      <c r="L281" s="31">
        <v>0</v>
      </c>
      <c r="M281" s="31">
        <v>1188</v>
      </c>
      <c r="N281" s="31">
        <v>5933544.8300000001</v>
      </c>
      <c r="O281" s="36">
        <v>0</v>
      </c>
      <c r="P281" s="36">
        <v>0</v>
      </c>
      <c r="Q281" s="31">
        <v>0</v>
      </c>
      <c r="R281" s="31">
        <v>0</v>
      </c>
      <c r="S281" s="31">
        <v>0</v>
      </c>
      <c r="T281" s="31">
        <v>0</v>
      </c>
      <c r="U281" s="31">
        <v>0</v>
      </c>
      <c r="V281" s="31">
        <v>0</v>
      </c>
      <c r="W281" s="31">
        <v>0</v>
      </c>
      <c r="X281" s="31">
        <v>0</v>
      </c>
      <c r="Y281" s="31">
        <v>0</v>
      </c>
      <c r="Z281" s="31">
        <v>0</v>
      </c>
      <c r="AA281" s="31">
        <v>0</v>
      </c>
      <c r="AB281" s="31">
        <v>0</v>
      </c>
      <c r="AC281" s="31">
        <f>ROUND(N281*1.5%,2)</f>
        <v>89003.17</v>
      </c>
      <c r="AD281" s="31">
        <v>180000</v>
      </c>
      <c r="AE281" s="31">
        <v>0</v>
      </c>
      <c r="AF281" s="34">
        <v>2020</v>
      </c>
      <c r="AG281" s="34">
        <v>2020</v>
      </c>
      <c r="AH281" s="35">
        <v>2020</v>
      </c>
      <c r="AT281" s="20" t="e">
        <f>VLOOKUP(C281,AW:AX,2,FALSE)</f>
        <v>#N/A</v>
      </c>
      <c r="BZ281" s="71"/>
      <c r="CD281" s="20" t="e">
        <f t="shared" si="33"/>
        <v>#N/A</v>
      </c>
    </row>
    <row r="282" spans="1:82" ht="61.5" x14ac:dyDescent="0.85">
      <c r="A282" s="20">
        <v>1</v>
      </c>
      <c r="B282" s="66">
        <f>SUBTOTAL(103,$A$22:A282)</f>
        <v>253</v>
      </c>
      <c r="C282" s="24" t="s">
        <v>672</v>
      </c>
      <c r="D282" s="31">
        <f>E282+F282+G282+H282+I282+J282+L282+N282+P282+R282+T282+U282+V282+W282+X282+Y282+Z282+AA282+AB282+AC282+AD282+AE282</f>
        <v>3579794.97</v>
      </c>
      <c r="E282" s="38">
        <v>0</v>
      </c>
      <c r="F282" s="38">
        <v>568509.12</v>
      </c>
      <c r="G282" s="31">
        <f>3222357.41-757038.8</f>
        <v>2465318.6100000003</v>
      </c>
      <c r="H282" s="38">
        <v>345280.61</v>
      </c>
      <c r="I282" s="38">
        <v>0</v>
      </c>
      <c r="J282" s="38">
        <v>0</v>
      </c>
      <c r="K282" s="33">
        <v>0</v>
      </c>
      <c r="L282" s="31">
        <v>0</v>
      </c>
      <c r="M282" s="31">
        <v>0</v>
      </c>
      <c r="N282" s="31">
        <v>0</v>
      </c>
      <c r="O282" s="38">
        <v>0</v>
      </c>
      <c r="P282" s="38">
        <v>0</v>
      </c>
      <c r="Q282" s="31">
        <v>0</v>
      </c>
      <c r="R282" s="31">
        <v>0</v>
      </c>
      <c r="S282" s="31">
        <v>0</v>
      </c>
      <c r="T282" s="31">
        <v>0</v>
      </c>
      <c r="U282" s="31">
        <v>0</v>
      </c>
      <c r="V282" s="31">
        <v>0</v>
      </c>
      <c r="W282" s="31">
        <v>0</v>
      </c>
      <c r="X282" s="31">
        <v>0</v>
      </c>
      <c r="Y282" s="31">
        <v>0</v>
      </c>
      <c r="Z282" s="31">
        <v>0</v>
      </c>
      <c r="AA282" s="31">
        <v>0</v>
      </c>
      <c r="AB282" s="31">
        <v>0</v>
      </c>
      <c r="AC282" s="31">
        <f>ROUND((E282+F282+G282+H282+I282+J282)*1.5%,2)</f>
        <v>50686.63</v>
      </c>
      <c r="AD282" s="31">
        <v>150000</v>
      </c>
      <c r="AE282" s="31">
        <v>0</v>
      </c>
      <c r="AF282" s="34">
        <v>2020</v>
      </c>
      <c r="AG282" s="34">
        <v>2020</v>
      </c>
      <c r="AH282" s="35">
        <v>2020</v>
      </c>
      <c r="AT282" s="20" t="e">
        <f>VLOOKUP(C282,AW:AX,2,FALSE)</f>
        <v>#N/A</v>
      </c>
      <c r="BZ282" s="71"/>
      <c r="CD282" s="20" t="e">
        <f t="shared" si="33"/>
        <v>#N/A</v>
      </c>
    </row>
    <row r="283" spans="1:82" ht="61.5" x14ac:dyDescent="0.85">
      <c r="A283" s="20">
        <v>1</v>
      </c>
      <c r="B283" s="66">
        <f>SUBTOTAL(103,$A$22:A283)</f>
        <v>254</v>
      </c>
      <c r="C283" s="24" t="s">
        <v>1228</v>
      </c>
      <c r="D283" s="31">
        <f>E283+F283+G283+H283+I283+J283+L283+N283+P283+R283+T283+U283+V283+W283+X283+Y283+Z283+AA283+AB283+AC283+AD283+AE283</f>
        <v>3650965.3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3">
        <v>0</v>
      </c>
      <c r="L283" s="31">
        <v>0</v>
      </c>
      <c r="M283" s="31">
        <v>855</v>
      </c>
      <c r="N283" s="31">
        <v>3597010.15</v>
      </c>
      <c r="O283" s="36">
        <v>0</v>
      </c>
      <c r="P283" s="36">
        <v>0</v>
      </c>
      <c r="Q283" s="31">
        <v>0</v>
      </c>
      <c r="R283" s="31">
        <v>0</v>
      </c>
      <c r="S283" s="31">
        <v>0</v>
      </c>
      <c r="T283" s="31">
        <v>0</v>
      </c>
      <c r="U283" s="31">
        <v>0</v>
      </c>
      <c r="V283" s="31">
        <v>0</v>
      </c>
      <c r="W283" s="31">
        <v>0</v>
      </c>
      <c r="X283" s="31">
        <v>0</v>
      </c>
      <c r="Y283" s="31">
        <v>0</v>
      </c>
      <c r="Z283" s="31">
        <v>0</v>
      </c>
      <c r="AA283" s="31">
        <v>0</v>
      </c>
      <c r="AB283" s="31">
        <v>0</v>
      </c>
      <c r="AC283" s="31">
        <f>ROUND(N283*1.5%,2)</f>
        <v>53955.15</v>
      </c>
      <c r="AD283" s="31">
        <v>0</v>
      </c>
      <c r="AE283" s="31">
        <v>0</v>
      </c>
      <c r="AF283" s="34" t="s">
        <v>274</v>
      </c>
      <c r="AG283" s="34">
        <v>2020</v>
      </c>
      <c r="AH283" s="35">
        <v>2020</v>
      </c>
      <c r="BZ283" s="71"/>
      <c r="CD283" s="20">
        <f t="shared" si="33"/>
        <v>855</v>
      </c>
    </row>
    <row r="284" spans="1:82" ht="61.5" x14ac:dyDescent="0.85">
      <c r="A284" s="20">
        <v>1</v>
      </c>
      <c r="B284" s="66">
        <f>SUBTOTAL(103,$A$22:A284)</f>
        <v>255</v>
      </c>
      <c r="C284" s="24" t="s">
        <v>1214</v>
      </c>
      <c r="D284" s="31">
        <f>E284+F284+G284+H284+I284+J284+L284+N284+P284+R284+T284+U284+V284+W284+X284+Y284+Z284+AA284+AB284+AC284+AD284+AE284</f>
        <v>3569590.08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3">
        <v>0</v>
      </c>
      <c r="L284" s="31">
        <v>0</v>
      </c>
      <c r="M284" s="31">
        <v>1155.9000000000001</v>
      </c>
      <c r="N284" s="31">
        <f>2738772.46+778065.06</f>
        <v>3516837.52</v>
      </c>
      <c r="O284" s="36">
        <v>0</v>
      </c>
      <c r="P284" s="36">
        <v>0</v>
      </c>
      <c r="Q284" s="31">
        <v>0</v>
      </c>
      <c r="R284" s="31">
        <v>0</v>
      </c>
      <c r="S284" s="31">
        <v>0</v>
      </c>
      <c r="T284" s="31">
        <v>0</v>
      </c>
      <c r="U284" s="31">
        <v>0</v>
      </c>
      <c r="V284" s="31">
        <v>0</v>
      </c>
      <c r="W284" s="31">
        <v>0</v>
      </c>
      <c r="X284" s="31">
        <v>0</v>
      </c>
      <c r="Y284" s="31">
        <v>0</v>
      </c>
      <c r="Z284" s="31">
        <v>0</v>
      </c>
      <c r="AA284" s="31">
        <v>0</v>
      </c>
      <c r="AB284" s="31">
        <v>0</v>
      </c>
      <c r="AC284" s="31">
        <f>ROUND(N284*1.5%,2)</f>
        <v>52752.56</v>
      </c>
      <c r="AD284" s="31">
        <v>0</v>
      </c>
      <c r="AE284" s="31">
        <v>0</v>
      </c>
      <c r="AF284" s="34" t="s">
        <v>274</v>
      </c>
      <c r="AG284" s="34">
        <v>2020</v>
      </c>
      <c r="AH284" s="35">
        <v>2020</v>
      </c>
      <c r="BZ284" s="71"/>
      <c r="CD284" s="20">
        <f t="shared" si="33"/>
        <v>1155.9000000000001</v>
      </c>
    </row>
    <row r="285" spans="1:82" ht="61.5" x14ac:dyDescent="0.85">
      <c r="B285" s="24" t="s">
        <v>1308</v>
      </c>
      <c r="C285" s="24"/>
      <c r="D285" s="31">
        <f>D286</f>
        <v>509455.14</v>
      </c>
      <c r="E285" s="31">
        <f t="shared" ref="E285:AE285" si="35">E286</f>
        <v>0</v>
      </c>
      <c r="F285" s="31">
        <f t="shared" si="35"/>
        <v>0</v>
      </c>
      <c r="G285" s="31">
        <f t="shared" si="35"/>
        <v>0</v>
      </c>
      <c r="H285" s="31">
        <f t="shared" si="35"/>
        <v>0</v>
      </c>
      <c r="I285" s="31">
        <f t="shared" si="35"/>
        <v>0</v>
      </c>
      <c r="J285" s="31">
        <f t="shared" si="35"/>
        <v>0</v>
      </c>
      <c r="K285" s="33">
        <f t="shared" si="35"/>
        <v>0</v>
      </c>
      <c r="L285" s="31">
        <f t="shared" si="35"/>
        <v>0</v>
      </c>
      <c r="M285" s="31">
        <f t="shared" si="35"/>
        <v>0</v>
      </c>
      <c r="N285" s="31">
        <f t="shared" si="35"/>
        <v>0</v>
      </c>
      <c r="O285" s="31">
        <f t="shared" si="35"/>
        <v>0</v>
      </c>
      <c r="P285" s="31">
        <f t="shared" si="35"/>
        <v>0</v>
      </c>
      <c r="Q285" s="31">
        <f t="shared" si="35"/>
        <v>0</v>
      </c>
      <c r="R285" s="31">
        <f t="shared" si="35"/>
        <v>0</v>
      </c>
      <c r="S285" s="31">
        <f t="shared" si="35"/>
        <v>0</v>
      </c>
      <c r="T285" s="31">
        <f t="shared" si="35"/>
        <v>0</v>
      </c>
      <c r="U285" s="31">
        <f t="shared" si="35"/>
        <v>0</v>
      </c>
      <c r="V285" s="31">
        <f t="shared" si="35"/>
        <v>501926.25</v>
      </c>
      <c r="W285" s="31">
        <f t="shared" si="35"/>
        <v>0</v>
      </c>
      <c r="X285" s="31">
        <f t="shared" si="35"/>
        <v>0</v>
      </c>
      <c r="Y285" s="31">
        <f t="shared" si="35"/>
        <v>0</v>
      </c>
      <c r="Z285" s="31">
        <f t="shared" si="35"/>
        <v>0</v>
      </c>
      <c r="AA285" s="31">
        <f t="shared" si="35"/>
        <v>0</v>
      </c>
      <c r="AB285" s="31">
        <f t="shared" si="35"/>
        <v>0</v>
      </c>
      <c r="AC285" s="31">
        <f t="shared" si="35"/>
        <v>7528.89</v>
      </c>
      <c r="AD285" s="31">
        <f t="shared" si="35"/>
        <v>0</v>
      </c>
      <c r="AE285" s="31">
        <f t="shared" si="35"/>
        <v>0</v>
      </c>
      <c r="AF285" s="72" t="s">
        <v>776</v>
      </c>
      <c r="AG285" s="72" t="s">
        <v>776</v>
      </c>
      <c r="AH285" s="89" t="s">
        <v>776</v>
      </c>
      <c r="BZ285" s="71">
        <v>509455.14</v>
      </c>
      <c r="CD285" s="20" t="e">
        <f t="shared" si="33"/>
        <v>#N/A</v>
      </c>
    </row>
    <row r="286" spans="1:82" ht="61.5" x14ac:dyDescent="0.85">
      <c r="A286" s="20">
        <v>1</v>
      </c>
      <c r="B286" s="66">
        <f>SUBTOTAL(103,$A$22:A286)</f>
        <v>256</v>
      </c>
      <c r="C286" s="24" t="s">
        <v>1213</v>
      </c>
      <c r="D286" s="31">
        <f>E286+F286+G286+H286+I286+J286+L286+N286+P286+R286+T286+U286+V286+W286+X286+Y286+Z286+AA286+AB286+AC286+AD286+AE286</f>
        <v>509455.14</v>
      </c>
      <c r="E286" s="36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3">
        <v>0</v>
      </c>
      <c r="L286" s="31">
        <v>0</v>
      </c>
      <c r="M286" s="31">
        <v>0</v>
      </c>
      <c r="N286" s="31">
        <v>0</v>
      </c>
      <c r="O286" s="36">
        <v>0</v>
      </c>
      <c r="P286" s="36">
        <v>0</v>
      </c>
      <c r="Q286" s="31">
        <v>0</v>
      </c>
      <c r="R286" s="31">
        <v>0</v>
      </c>
      <c r="S286" s="31">
        <v>0</v>
      </c>
      <c r="T286" s="31">
        <v>0</v>
      </c>
      <c r="U286" s="31">
        <v>0</v>
      </c>
      <c r="V286" s="31">
        <f>351650.11+150302.12-25.98</f>
        <v>501926.25</v>
      </c>
      <c r="W286" s="31">
        <v>0</v>
      </c>
      <c r="X286" s="31">
        <v>0</v>
      </c>
      <c r="Y286" s="31">
        <v>0</v>
      </c>
      <c r="Z286" s="31">
        <v>0</v>
      </c>
      <c r="AA286" s="31">
        <v>0</v>
      </c>
      <c r="AB286" s="31">
        <v>0</v>
      </c>
      <c r="AC286" s="31">
        <f>ROUND(V286*1.5%,2)</f>
        <v>7528.89</v>
      </c>
      <c r="AD286" s="31">
        <v>0</v>
      </c>
      <c r="AE286" s="31">
        <v>0</v>
      </c>
      <c r="AF286" s="34" t="s">
        <v>274</v>
      </c>
      <c r="AG286" s="34">
        <v>2020</v>
      </c>
      <c r="AH286" s="35">
        <v>2020</v>
      </c>
      <c r="BZ286" s="71"/>
      <c r="CD286" s="20" t="e">
        <f t="shared" si="33"/>
        <v>#N/A</v>
      </c>
    </row>
    <row r="287" spans="1:82" ht="61.5" x14ac:dyDescent="0.85">
      <c r="B287" s="24" t="s">
        <v>844</v>
      </c>
      <c r="C287" s="166"/>
      <c r="D287" s="31">
        <f>SUM(D288:D289)</f>
        <v>6114371.4100000011</v>
      </c>
      <c r="E287" s="31">
        <f t="shared" ref="E287:AE287" si="36">SUM(E288:E289)</f>
        <v>0</v>
      </c>
      <c r="F287" s="31">
        <f t="shared" si="36"/>
        <v>0</v>
      </c>
      <c r="G287" s="31">
        <f t="shared" si="36"/>
        <v>0</v>
      </c>
      <c r="H287" s="31">
        <f t="shared" si="36"/>
        <v>0</v>
      </c>
      <c r="I287" s="31">
        <f t="shared" si="36"/>
        <v>0</v>
      </c>
      <c r="J287" s="31">
        <f t="shared" si="36"/>
        <v>0</v>
      </c>
      <c r="K287" s="33">
        <f t="shared" si="36"/>
        <v>0</v>
      </c>
      <c r="L287" s="31">
        <f t="shared" si="36"/>
        <v>0</v>
      </c>
      <c r="M287" s="31">
        <f t="shared" si="36"/>
        <v>1265.96</v>
      </c>
      <c r="N287" s="31">
        <f t="shared" si="36"/>
        <v>5970162.9100000001</v>
      </c>
      <c r="O287" s="31">
        <f t="shared" si="36"/>
        <v>0</v>
      </c>
      <c r="P287" s="31">
        <f t="shared" si="36"/>
        <v>0</v>
      </c>
      <c r="Q287" s="31">
        <f t="shared" si="36"/>
        <v>0</v>
      </c>
      <c r="R287" s="31">
        <f t="shared" si="36"/>
        <v>0</v>
      </c>
      <c r="S287" s="31">
        <f t="shared" si="36"/>
        <v>0</v>
      </c>
      <c r="T287" s="31">
        <f t="shared" si="36"/>
        <v>0</v>
      </c>
      <c r="U287" s="31">
        <f t="shared" si="36"/>
        <v>0</v>
      </c>
      <c r="V287" s="31">
        <f t="shared" si="36"/>
        <v>0</v>
      </c>
      <c r="W287" s="31">
        <f t="shared" si="36"/>
        <v>0</v>
      </c>
      <c r="X287" s="31">
        <f t="shared" si="36"/>
        <v>0</v>
      </c>
      <c r="Y287" s="31">
        <f t="shared" si="36"/>
        <v>0</v>
      </c>
      <c r="Z287" s="31">
        <f t="shared" si="36"/>
        <v>0</v>
      </c>
      <c r="AA287" s="31">
        <f t="shared" si="36"/>
        <v>0</v>
      </c>
      <c r="AB287" s="31">
        <f t="shared" si="36"/>
        <v>0</v>
      </c>
      <c r="AC287" s="31">
        <f t="shared" si="36"/>
        <v>21399.149999999998</v>
      </c>
      <c r="AD287" s="31">
        <f t="shared" si="36"/>
        <v>122809.35</v>
      </c>
      <c r="AE287" s="31">
        <f t="shared" si="36"/>
        <v>0</v>
      </c>
      <c r="AF287" s="72" t="s">
        <v>776</v>
      </c>
      <c r="AG287" s="72" t="s">
        <v>776</v>
      </c>
      <c r="AH287" s="89" t="s">
        <v>776</v>
      </c>
      <c r="AT287" s="20" t="e">
        <f>VLOOKUP(C287,AW:AX,2,FALSE)</f>
        <v>#N/A</v>
      </c>
      <c r="BZ287" s="71">
        <v>6114371.4100000001</v>
      </c>
      <c r="CB287" s="71">
        <f>BZ287-D287</f>
        <v>0</v>
      </c>
      <c r="CD287" s="20" t="e">
        <f t="shared" si="33"/>
        <v>#N/A</v>
      </c>
    </row>
    <row r="288" spans="1:82" ht="61.5" x14ac:dyDescent="0.85">
      <c r="A288" s="20">
        <v>1</v>
      </c>
      <c r="B288" s="66">
        <f>SUBTOTAL(103,$A$22:A288)</f>
        <v>257</v>
      </c>
      <c r="C288" s="24" t="s">
        <v>700</v>
      </c>
      <c r="D288" s="31">
        <f>E288+F288+G288+H288+I288+J288+L288+N288+P288+R288+T288+U288+V288+W288+X288+Y288+Z288+AA288+AB288+AC288+AD288+AE288</f>
        <v>4930867.1600000011</v>
      </c>
      <c r="E288" s="38">
        <v>0</v>
      </c>
      <c r="F288" s="38">
        <v>0</v>
      </c>
      <c r="G288" s="31">
        <v>0</v>
      </c>
      <c r="H288" s="38">
        <v>0</v>
      </c>
      <c r="I288" s="38">
        <v>0</v>
      </c>
      <c r="J288" s="38">
        <v>0</v>
      </c>
      <c r="K288" s="33">
        <v>0</v>
      </c>
      <c r="L288" s="31">
        <v>0</v>
      </c>
      <c r="M288" s="31">
        <v>1022</v>
      </c>
      <c r="N288" s="31">
        <v>4825702.2300000004</v>
      </c>
      <c r="O288" s="38">
        <v>0</v>
      </c>
      <c r="P288" s="38">
        <v>0</v>
      </c>
      <c r="Q288" s="31">
        <v>0</v>
      </c>
      <c r="R288" s="31">
        <v>0</v>
      </c>
      <c r="S288" s="31">
        <v>0</v>
      </c>
      <c r="T288" s="31">
        <v>0</v>
      </c>
      <c r="U288" s="31">
        <v>0</v>
      </c>
      <c r="V288" s="31">
        <v>0</v>
      </c>
      <c r="W288" s="31">
        <v>0</v>
      </c>
      <c r="X288" s="31">
        <v>0</v>
      </c>
      <c r="Y288" s="31">
        <v>0</v>
      </c>
      <c r="Z288" s="31">
        <v>0</v>
      </c>
      <c r="AA288" s="31">
        <v>0</v>
      </c>
      <c r="AB288" s="31">
        <v>0</v>
      </c>
      <c r="AC288" s="31">
        <f>ROUND(N288*1.0125%,2)-29048.75-5000</f>
        <v>14811.489999999998</v>
      </c>
      <c r="AD288" s="31">
        <v>90353.44</v>
      </c>
      <c r="AE288" s="31">
        <v>0</v>
      </c>
      <c r="AF288" s="34">
        <v>2020</v>
      </c>
      <c r="AG288" s="34">
        <v>2020</v>
      </c>
      <c r="AH288" s="35">
        <v>2020</v>
      </c>
      <c r="AT288" s="20" t="e">
        <f>VLOOKUP(C288,AW:AX,2,FALSE)</f>
        <v>#N/A</v>
      </c>
      <c r="BZ288" s="71"/>
      <c r="CD288" s="20">
        <f t="shared" si="33"/>
        <v>1022</v>
      </c>
    </row>
    <row r="289" spans="1:82" ht="61.5" x14ac:dyDescent="0.85">
      <c r="A289" s="20">
        <v>1</v>
      </c>
      <c r="B289" s="66">
        <f>SUBTOTAL(103,$A$22:A289)</f>
        <v>258</v>
      </c>
      <c r="C289" s="24" t="s">
        <v>698</v>
      </c>
      <c r="D289" s="31">
        <f>E289+F289+G289+H289+I289+J289+L289+N289+P289+R289+T289+U289+V289+W289+X289+Y289+Z289+AA289+AB289+AC289+AD289+AE289</f>
        <v>1183504.2499999998</v>
      </c>
      <c r="E289" s="38">
        <v>0</v>
      </c>
      <c r="F289" s="38">
        <v>0</v>
      </c>
      <c r="G289" s="31">
        <v>0</v>
      </c>
      <c r="H289" s="38">
        <v>0</v>
      </c>
      <c r="I289" s="38">
        <v>0</v>
      </c>
      <c r="J289" s="38">
        <v>0</v>
      </c>
      <c r="K289" s="33">
        <v>0</v>
      </c>
      <c r="L289" s="31">
        <v>0</v>
      </c>
      <c r="M289" s="31">
        <v>243.96</v>
      </c>
      <c r="N289" s="31">
        <v>1144460.68</v>
      </c>
      <c r="O289" s="38">
        <v>0</v>
      </c>
      <c r="P289" s="38">
        <v>0</v>
      </c>
      <c r="Q289" s="31">
        <v>0</v>
      </c>
      <c r="R289" s="31">
        <v>0</v>
      </c>
      <c r="S289" s="31">
        <v>0</v>
      </c>
      <c r="T289" s="31">
        <v>0</v>
      </c>
      <c r="U289" s="31">
        <v>0</v>
      </c>
      <c r="V289" s="31">
        <v>0</v>
      </c>
      <c r="W289" s="31">
        <v>0</v>
      </c>
      <c r="X289" s="31">
        <v>0</v>
      </c>
      <c r="Y289" s="31">
        <v>0</v>
      </c>
      <c r="Z289" s="31">
        <v>0</v>
      </c>
      <c r="AA289" s="31">
        <v>0</v>
      </c>
      <c r="AB289" s="31">
        <v>0</v>
      </c>
      <c r="AC289" s="31">
        <f>ROUND(N289*1.0125%,2)-5000</f>
        <v>6587.66</v>
      </c>
      <c r="AD289" s="31">
        <v>32455.91</v>
      </c>
      <c r="AE289" s="31">
        <v>0</v>
      </c>
      <c r="AF289" s="34">
        <v>2020</v>
      </c>
      <c r="AG289" s="34">
        <v>2020</v>
      </c>
      <c r="AH289" s="35">
        <v>2020</v>
      </c>
      <c r="AT289" s="20" t="e">
        <f>VLOOKUP(C289,AW:AX,2,FALSE)</f>
        <v>#N/A</v>
      </c>
      <c r="BZ289" s="71"/>
      <c r="CD289" s="20">
        <f t="shared" si="33"/>
        <v>243.96</v>
      </c>
    </row>
    <row r="290" spans="1:82" ht="61.5" x14ac:dyDescent="0.85">
      <c r="B290" s="24" t="s">
        <v>845</v>
      </c>
      <c r="C290" s="24"/>
      <c r="D290" s="31">
        <f>SUM(D291:D295)</f>
        <v>13474518.75</v>
      </c>
      <c r="E290" s="31">
        <f t="shared" ref="E290:AE290" si="37">SUM(E291:E295)</f>
        <v>154554.67000000001</v>
      </c>
      <c r="F290" s="31">
        <f t="shared" si="37"/>
        <v>0</v>
      </c>
      <c r="G290" s="31">
        <f t="shared" si="37"/>
        <v>666330.31000000006</v>
      </c>
      <c r="H290" s="31">
        <f t="shared" si="37"/>
        <v>250573.85</v>
      </c>
      <c r="I290" s="31">
        <f t="shared" si="37"/>
        <v>0</v>
      </c>
      <c r="J290" s="31">
        <f t="shared" si="37"/>
        <v>0</v>
      </c>
      <c r="K290" s="33">
        <f t="shared" si="37"/>
        <v>0</v>
      </c>
      <c r="L290" s="31">
        <f t="shared" si="37"/>
        <v>0</v>
      </c>
      <c r="M290" s="31">
        <f t="shared" si="37"/>
        <v>0</v>
      </c>
      <c r="N290" s="31">
        <f t="shared" si="37"/>
        <v>0</v>
      </c>
      <c r="O290" s="31">
        <f t="shared" si="37"/>
        <v>339.3</v>
      </c>
      <c r="P290" s="31">
        <f t="shared" si="37"/>
        <v>3414090.48</v>
      </c>
      <c r="Q290" s="31">
        <f t="shared" si="37"/>
        <v>1907.2</v>
      </c>
      <c r="R290" s="31">
        <f t="shared" si="37"/>
        <v>8686047.7799999993</v>
      </c>
      <c r="S290" s="31">
        <f t="shared" si="37"/>
        <v>0</v>
      </c>
      <c r="T290" s="31">
        <f t="shared" si="37"/>
        <v>0</v>
      </c>
      <c r="U290" s="31">
        <f t="shared" si="37"/>
        <v>0</v>
      </c>
      <c r="V290" s="31">
        <f t="shared" si="37"/>
        <v>0</v>
      </c>
      <c r="W290" s="31">
        <f t="shared" si="37"/>
        <v>0</v>
      </c>
      <c r="X290" s="31">
        <f t="shared" si="37"/>
        <v>0</v>
      </c>
      <c r="Y290" s="31">
        <f t="shared" si="37"/>
        <v>0</v>
      </c>
      <c r="Z290" s="31">
        <f t="shared" si="37"/>
        <v>0</v>
      </c>
      <c r="AA290" s="31">
        <f t="shared" si="37"/>
        <v>0</v>
      </c>
      <c r="AB290" s="31">
        <f t="shared" si="37"/>
        <v>0</v>
      </c>
      <c r="AC290" s="31">
        <f t="shared" si="37"/>
        <v>196743.94</v>
      </c>
      <c r="AD290" s="31">
        <f t="shared" si="37"/>
        <v>106177.72</v>
      </c>
      <c r="AE290" s="31">
        <f t="shared" si="37"/>
        <v>0</v>
      </c>
      <c r="AF290" s="72" t="s">
        <v>776</v>
      </c>
      <c r="AG290" s="72" t="s">
        <v>776</v>
      </c>
      <c r="AH290" s="89" t="s">
        <v>776</v>
      </c>
      <c r="AT290" s="20" t="e">
        <f>VLOOKUP(C290,AW:AX,2,FALSE)</f>
        <v>#N/A</v>
      </c>
      <c r="BZ290" s="71">
        <v>13474518.75</v>
      </c>
      <c r="CD290" s="20" t="e">
        <f t="shared" si="33"/>
        <v>#N/A</v>
      </c>
    </row>
    <row r="291" spans="1:82" ht="61.5" x14ac:dyDescent="0.85">
      <c r="A291" s="20">
        <v>1</v>
      </c>
      <c r="B291" s="66">
        <f>SUBTOTAL(103,$A$22:A291)</f>
        <v>259</v>
      </c>
      <c r="C291" s="24" t="s">
        <v>713</v>
      </c>
      <c r="D291" s="31">
        <f>E291+F291+G291+H291+I291+J291+L291+N291+P291+R291+T291+U291+V291+W291+X291+Y291+Z291+AA291+AB291+AC291+AD291+AE291</f>
        <v>2242518.08</v>
      </c>
      <c r="E291" s="38">
        <v>0</v>
      </c>
      <c r="F291" s="38">
        <v>0</v>
      </c>
      <c r="G291" s="31">
        <v>0</v>
      </c>
      <c r="H291" s="38">
        <v>0</v>
      </c>
      <c r="I291" s="38">
        <v>0</v>
      </c>
      <c r="J291" s="38">
        <v>0</v>
      </c>
      <c r="K291" s="33">
        <v>0</v>
      </c>
      <c r="L291" s="31">
        <v>0</v>
      </c>
      <c r="M291" s="31">
        <v>0</v>
      </c>
      <c r="N291" s="31">
        <v>0</v>
      </c>
      <c r="O291" s="38">
        <v>0</v>
      </c>
      <c r="P291" s="38">
        <v>0</v>
      </c>
      <c r="Q291" s="31">
        <v>607.29999999999995</v>
      </c>
      <c r="R291" s="31">
        <v>2104768.83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f>ROUND(R291*1.5%,2)</f>
        <v>31571.53</v>
      </c>
      <c r="AD291" s="31">
        <v>106177.72</v>
      </c>
      <c r="AE291" s="31">
        <v>0</v>
      </c>
      <c r="AF291" s="34">
        <v>2020</v>
      </c>
      <c r="AG291" s="34">
        <v>2020</v>
      </c>
      <c r="AH291" s="35">
        <v>2020</v>
      </c>
      <c r="AT291" s="20" t="e">
        <f>VLOOKUP(C291,AW:AX,2,FALSE)</f>
        <v>#N/A</v>
      </c>
      <c r="BZ291" s="71"/>
      <c r="CD291" s="20" t="e">
        <f t="shared" si="33"/>
        <v>#N/A</v>
      </c>
    </row>
    <row r="292" spans="1:82" ht="61.5" x14ac:dyDescent="0.85">
      <c r="A292" s="20">
        <v>1</v>
      </c>
      <c r="B292" s="66">
        <f>SUBTOTAL(103,$A$22:A292)</f>
        <v>260</v>
      </c>
      <c r="C292" s="24" t="s">
        <v>1231</v>
      </c>
      <c r="D292" s="31">
        <f>E292+F292+G292+H292+I292+J292+L292+N292+P292+R292+T292+U292+V292+W292+X292+Y292+Z292+AA292+AB292+AC292+AD292+AE292</f>
        <v>3342143.64</v>
      </c>
      <c r="E292" s="38">
        <v>0</v>
      </c>
      <c r="F292" s="38">
        <v>0</v>
      </c>
      <c r="G292" s="31">
        <v>0</v>
      </c>
      <c r="H292" s="38">
        <v>0</v>
      </c>
      <c r="I292" s="38">
        <v>0</v>
      </c>
      <c r="J292" s="38">
        <v>0</v>
      </c>
      <c r="K292" s="33">
        <v>0</v>
      </c>
      <c r="L292" s="31">
        <v>0</v>
      </c>
      <c r="M292" s="31">
        <v>0</v>
      </c>
      <c r="N292" s="31">
        <v>0</v>
      </c>
      <c r="O292" s="38">
        <v>0</v>
      </c>
      <c r="P292" s="38">
        <v>0</v>
      </c>
      <c r="Q292" s="31">
        <v>647.20000000000005</v>
      </c>
      <c r="R292" s="31">
        <v>3292995.68</v>
      </c>
      <c r="S292" s="31">
        <v>0</v>
      </c>
      <c r="T292" s="31">
        <v>0</v>
      </c>
      <c r="U292" s="31">
        <v>0</v>
      </c>
      <c r="V292" s="31">
        <v>0</v>
      </c>
      <c r="W292" s="31">
        <v>0</v>
      </c>
      <c r="X292" s="31">
        <v>0</v>
      </c>
      <c r="Y292" s="31">
        <v>0</v>
      </c>
      <c r="Z292" s="31">
        <v>0</v>
      </c>
      <c r="AA292" s="31">
        <v>0</v>
      </c>
      <c r="AB292" s="31">
        <v>0</v>
      </c>
      <c r="AC292" s="31">
        <f>ROUND(R292*1.4925%,2)</f>
        <v>49147.96</v>
      </c>
      <c r="AD292" s="31">
        <v>0</v>
      </c>
      <c r="AE292" s="31">
        <v>0</v>
      </c>
      <c r="AF292" s="34" t="s">
        <v>274</v>
      </c>
      <c r="AG292" s="34">
        <v>2020</v>
      </c>
      <c r="AH292" s="35">
        <v>2020</v>
      </c>
      <c r="BZ292" s="71"/>
      <c r="CD292" s="20" t="e">
        <f t="shared" si="33"/>
        <v>#N/A</v>
      </c>
    </row>
    <row r="293" spans="1:82" ht="61.5" x14ac:dyDescent="0.85">
      <c r="A293" s="20">
        <v>1</v>
      </c>
      <c r="B293" s="66">
        <f>SUBTOTAL(103,$A$22:A293)</f>
        <v>261</v>
      </c>
      <c r="C293" s="24" t="s">
        <v>1232</v>
      </c>
      <c r="D293" s="31">
        <f>E293+F293+G293+H293+I293+J293+L293+N293+P293+R293+T293+U293+V293+W293+X293+Y293+Z293+AA293+AB293+AC293+AD293+AE293</f>
        <v>3337360.9</v>
      </c>
      <c r="E293" s="38">
        <v>0</v>
      </c>
      <c r="F293" s="38">
        <v>0</v>
      </c>
      <c r="G293" s="31">
        <v>0</v>
      </c>
      <c r="H293" s="38">
        <v>0</v>
      </c>
      <c r="I293" s="38">
        <v>0</v>
      </c>
      <c r="J293" s="38">
        <v>0</v>
      </c>
      <c r="K293" s="33">
        <v>0</v>
      </c>
      <c r="L293" s="31">
        <v>0</v>
      </c>
      <c r="M293" s="31">
        <v>0</v>
      </c>
      <c r="N293" s="31">
        <v>0</v>
      </c>
      <c r="O293" s="38">
        <v>0</v>
      </c>
      <c r="P293" s="38">
        <v>0</v>
      </c>
      <c r="Q293" s="31">
        <v>652.70000000000005</v>
      </c>
      <c r="R293" s="31">
        <v>3288283.27</v>
      </c>
      <c r="S293" s="31">
        <v>0</v>
      </c>
      <c r="T293" s="31">
        <v>0</v>
      </c>
      <c r="U293" s="31">
        <v>0</v>
      </c>
      <c r="V293" s="31">
        <v>0</v>
      </c>
      <c r="W293" s="31">
        <v>0</v>
      </c>
      <c r="X293" s="31">
        <v>0</v>
      </c>
      <c r="Y293" s="31">
        <v>0</v>
      </c>
      <c r="Z293" s="31">
        <v>0</v>
      </c>
      <c r="AA293" s="31">
        <v>0</v>
      </c>
      <c r="AB293" s="31">
        <v>0</v>
      </c>
      <c r="AC293" s="31">
        <f>ROUND(R293*1.4925%,2)</f>
        <v>49077.63</v>
      </c>
      <c r="AD293" s="31">
        <v>0</v>
      </c>
      <c r="AE293" s="31">
        <v>0</v>
      </c>
      <c r="AF293" s="34" t="s">
        <v>274</v>
      </c>
      <c r="AG293" s="34">
        <v>2020</v>
      </c>
      <c r="AH293" s="35">
        <v>2020</v>
      </c>
      <c r="BZ293" s="71"/>
      <c r="CD293" s="20" t="e">
        <f t="shared" si="33"/>
        <v>#N/A</v>
      </c>
    </row>
    <row r="294" spans="1:82" ht="61.5" x14ac:dyDescent="0.85">
      <c r="A294" s="20">
        <v>1</v>
      </c>
      <c r="B294" s="66">
        <f>SUBTOTAL(103,$A$22:A294)</f>
        <v>262</v>
      </c>
      <c r="C294" s="24" t="s">
        <v>1233</v>
      </c>
      <c r="D294" s="31">
        <f>E294+F294+G294+H294+I294+J294+L294+N294+P294+R294+T294+U294+V294+W294+X294+Y294+Z294+AA294+AB294+AC294+AD294+AE294</f>
        <v>1087450.3500000001</v>
      </c>
      <c r="E294" s="38">
        <v>154554.67000000001</v>
      </c>
      <c r="F294" s="38">
        <v>0</v>
      </c>
      <c r="G294" s="31">
        <v>666330.31000000006</v>
      </c>
      <c r="H294" s="38">
        <v>250573.85</v>
      </c>
      <c r="I294" s="38">
        <v>0</v>
      </c>
      <c r="J294" s="38">
        <v>0</v>
      </c>
      <c r="K294" s="33">
        <v>0</v>
      </c>
      <c r="L294" s="31">
        <v>0</v>
      </c>
      <c r="M294" s="31">
        <v>0</v>
      </c>
      <c r="N294" s="31">
        <v>0</v>
      </c>
      <c r="O294" s="38">
        <v>0</v>
      </c>
      <c r="P294" s="38">
        <v>0</v>
      </c>
      <c r="Q294" s="31">
        <v>0</v>
      </c>
      <c r="R294" s="31">
        <v>0</v>
      </c>
      <c r="S294" s="31">
        <v>0</v>
      </c>
      <c r="T294" s="31">
        <v>0</v>
      </c>
      <c r="U294" s="31">
        <v>0</v>
      </c>
      <c r="V294" s="31">
        <v>0</v>
      </c>
      <c r="W294" s="31">
        <v>0</v>
      </c>
      <c r="X294" s="31">
        <v>0</v>
      </c>
      <c r="Y294" s="31">
        <v>0</v>
      </c>
      <c r="Z294" s="31">
        <v>0</v>
      </c>
      <c r="AA294" s="31">
        <v>0</v>
      </c>
      <c r="AB294" s="31">
        <v>0</v>
      </c>
      <c r="AC294" s="31">
        <f>ROUND((E294+F294+G294+H294+I294+J294)*1.4925%,2)</f>
        <v>15991.52</v>
      </c>
      <c r="AD294" s="31">
        <v>0</v>
      </c>
      <c r="AE294" s="31">
        <v>0</v>
      </c>
      <c r="AF294" s="34" t="s">
        <v>274</v>
      </c>
      <c r="AG294" s="34">
        <v>2020</v>
      </c>
      <c r="AH294" s="35">
        <v>2020</v>
      </c>
      <c r="BZ294" s="71"/>
      <c r="CD294" s="20" t="e">
        <f t="shared" si="33"/>
        <v>#N/A</v>
      </c>
    </row>
    <row r="295" spans="1:82" ht="61.5" x14ac:dyDescent="0.85">
      <c r="A295" s="20">
        <v>1</v>
      </c>
      <c r="B295" s="66">
        <f>SUBTOTAL(103,$A$22:A295)</f>
        <v>263</v>
      </c>
      <c r="C295" s="24" t="s">
        <v>1234</v>
      </c>
      <c r="D295" s="31">
        <f>E295+F295+G295+H295+I295+J295+L295+N295+P295+R295+T295+U295+V295+W295+X295+Y295+Z295+AA295+AB295+AC295+AD295+AE295</f>
        <v>3465045.78</v>
      </c>
      <c r="E295" s="38">
        <v>0</v>
      </c>
      <c r="F295" s="38">
        <v>0</v>
      </c>
      <c r="G295" s="31">
        <v>0</v>
      </c>
      <c r="H295" s="38">
        <v>0</v>
      </c>
      <c r="I295" s="38">
        <v>0</v>
      </c>
      <c r="J295" s="38">
        <v>0</v>
      </c>
      <c r="K295" s="33">
        <v>0</v>
      </c>
      <c r="L295" s="31">
        <v>0</v>
      </c>
      <c r="M295" s="31">
        <v>0</v>
      </c>
      <c r="N295" s="31">
        <v>0</v>
      </c>
      <c r="O295" s="38">
        <v>339.3</v>
      </c>
      <c r="P295" s="38">
        <v>3414090.48</v>
      </c>
      <c r="Q295" s="31">
        <v>0</v>
      </c>
      <c r="R295" s="31">
        <v>0</v>
      </c>
      <c r="S295" s="31">
        <v>0</v>
      </c>
      <c r="T295" s="31">
        <v>0</v>
      </c>
      <c r="U295" s="31">
        <v>0</v>
      </c>
      <c r="V295" s="31">
        <v>0</v>
      </c>
      <c r="W295" s="31">
        <v>0</v>
      </c>
      <c r="X295" s="31">
        <v>0</v>
      </c>
      <c r="Y295" s="31">
        <v>0</v>
      </c>
      <c r="Z295" s="31">
        <v>0</v>
      </c>
      <c r="AA295" s="31">
        <v>0</v>
      </c>
      <c r="AB295" s="31">
        <v>0</v>
      </c>
      <c r="AC295" s="31">
        <f>ROUND(P295*1.4925%,2)</f>
        <v>50955.3</v>
      </c>
      <c r="AD295" s="31">
        <v>0</v>
      </c>
      <c r="AE295" s="31">
        <v>0</v>
      </c>
      <c r="AF295" s="34" t="s">
        <v>274</v>
      </c>
      <c r="AG295" s="34">
        <v>2020</v>
      </c>
      <c r="AH295" s="35">
        <v>2020</v>
      </c>
      <c r="BZ295" s="71"/>
      <c r="CD295" s="20" t="e">
        <f t="shared" si="33"/>
        <v>#N/A</v>
      </c>
    </row>
    <row r="296" spans="1:82" ht="61.5" x14ac:dyDescent="0.85">
      <c r="B296" s="24" t="s">
        <v>846</v>
      </c>
      <c r="C296" s="24"/>
      <c r="D296" s="31">
        <f>SUM(D297:D301)</f>
        <v>4109300.7899999996</v>
      </c>
      <c r="E296" s="31">
        <f t="shared" ref="E296:AE296" si="38">SUM(E297:E301)</f>
        <v>230449.88</v>
      </c>
      <c r="F296" s="31">
        <f t="shared" si="38"/>
        <v>0</v>
      </c>
      <c r="G296" s="31">
        <f t="shared" si="38"/>
        <v>0</v>
      </c>
      <c r="H296" s="31">
        <f t="shared" si="38"/>
        <v>396684.17000000004</v>
      </c>
      <c r="I296" s="31">
        <f t="shared" si="38"/>
        <v>824985.34</v>
      </c>
      <c r="J296" s="31">
        <f t="shared" si="38"/>
        <v>0</v>
      </c>
      <c r="K296" s="33">
        <f t="shared" si="38"/>
        <v>0</v>
      </c>
      <c r="L296" s="31">
        <f t="shared" si="38"/>
        <v>0</v>
      </c>
      <c r="M296" s="31">
        <f t="shared" si="38"/>
        <v>496</v>
      </c>
      <c r="N296" s="31">
        <f t="shared" si="38"/>
        <v>2369851.8199999998</v>
      </c>
      <c r="O296" s="31">
        <f t="shared" si="38"/>
        <v>0</v>
      </c>
      <c r="P296" s="31">
        <f t="shared" si="38"/>
        <v>0</v>
      </c>
      <c r="Q296" s="31">
        <f t="shared" si="38"/>
        <v>0</v>
      </c>
      <c r="R296" s="31">
        <f t="shared" si="38"/>
        <v>0</v>
      </c>
      <c r="S296" s="31">
        <f t="shared" si="38"/>
        <v>0</v>
      </c>
      <c r="T296" s="31">
        <f t="shared" si="38"/>
        <v>0</v>
      </c>
      <c r="U296" s="31">
        <f t="shared" si="38"/>
        <v>0</v>
      </c>
      <c r="V296" s="31">
        <f t="shared" si="38"/>
        <v>0</v>
      </c>
      <c r="W296" s="31">
        <f t="shared" si="38"/>
        <v>0</v>
      </c>
      <c r="X296" s="31">
        <f t="shared" si="38"/>
        <v>0</v>
      </c>
      <c r="Y296" s="31">
        <f t="shared" si="38"/>
        <v>0</v>
      </c>
      <c r="Z296" s="31">
        <f t="shared" si="38"/>
        <v>0</v>
      </c>
      <c r="AA296" s="31">
        <f t="shared" si="38"/>
        <v>0</v>
      </c>
      <c r="AB296" s="31">
        <f t="shared" si="38"/>
        <v>0</v>
      </c>
      <c r="AC296" s="31">
        <f t="shared" si="38"/>
        <v>57329.579999999994</v>
      </c>
      <c r="AD296" s="31">
        <f t="shared" si="38"/>
        <v>230000</v>
      </c>
      <c r="AE296" s="31">
        <f t="shared" si="38"/>
        <v>0</v>
      </c>
      <c r="AF296" s="72" t="s">
        <v>776</v>
      </c>
      <c r="AG296" s="72" t="s">
        <v>776</v>
      </c>
      <c r="AH296" s="89" t="s">
        <v>776</v>
      </c>
      <c r="AT296" s="20" t="e">
        <f>VLOOKUP(C296,AW:AX,2,FALSE)</f>
        <v>#N/A</v>
      </c>
      <c r="BZ296" s="71">
        <v>4109300.7899999996</v>
      </c>
      <c r="CD296" s="20" t="e">
        <f t="shared" si="33"/>
        <v>#N/A</v>
      </c>
    </row>
    <row r="297" spans="1:82" ht="61.5" x14ac:dyDescent="0.85">
      <c r="A297" s="20">
        <v>1</v>
      </c>
      <c r="B297" s="66">
        <f>SUBTOTAL(103,$A$22:A297)</f>
        <v>264</v>
      </c>
      <c r="C297" s="24" t="s">
        <v>714</v>
      </c>
      <c r="D297" s="31">
        <f>E297+F297+G297+H297+I297+J297+L297+N297+P297+R297+T297+U297+V297+W297+X297+Y297+Z297+AA297+AB297+AC297+AD297+AE297</f>
        <v>2525399.5999999996</v>
      </c>
      <c r="E297" s="38">
        <v>0</v>
      </c>
      <c r="F297" s="38">
        <v>0</v>
      </c>
      <c r="G297" s="31">
        <v>0</v>
      </c>
      <c r="H297" s="38">
        <v>0</v>
      </c>
      <c r="I297" s="38">
        <v>0</v>
      </c>
      <c r="J297" s="38">
        <v>0</v>
      </c>
      <c r="K297" s="33">
        <v>0</v>
      </c>
      <c r="L297" s="31">
        <v>0</v>
      </c>
      <c r="M297" s="31">
        <v>496</v>
      </c>
      <c r="N297" s="31">
        <f>1857534.42+512317.4</f>
        <v>2369851.8199999998</v>
      </c>
      <c r="O297" s="38">
        <v>0</v>
      </c>
      <c r="P297" s="38">
        <v>0</v>
      </c>
      <c r="Q297" s="31">
        <v>0</v>
      </c>
      <c r="R297" s="31">
        <v>0</v>
      </c>
      <c r="S297" s="31">
        <v>0</v>
      </c>
      <c r="T297" s="31">
        <v>0</v>
      </c>
      <c r="U297" s="31">
        <v>0</v>
      </c>
      <c r="V297" s="31">
        <v>0</v>
      </c>
      <c r="W297" s="31">
        <v>0</v>
      </c>
      <c r="X297" s="31">
        <v>0</v>
      </c>
      <c r="Y297" s="31">
        <v>0</v>
      </c>
      <c r="Z297" s="31">
        <v>0</v>
      </c>
      <c r="AA297" s="31">
        <v>0</v>
      </c>
      <c r="AB297" s="31">
        <v>0</v>
      </c>
      <c r="AC297" s="31">
        <f>ROUND(N297*1.5%,2)</f>
        <v>35547.78</v>
      </c>
      <c r="AD297" s="31">
        <v>120000</v>
      </c>
      <c r="AE297" s="31">
        <v>0</v>
      </c>
      <c r="AF297" s="34">
        <v>2020</v>
      </c>
      <c r="AG297" s="34">
        <v>2020</v>
      </c>
      <c r="AH297" s="35">
        <v>2020</v>
      </c>
      <c r="AT297" s="20" t="e">
        <f>VLOOKUP(C297,AW:AX,2,FALSE)</f>
        <v>#N/A</v>
      </c>
      <c r="BZ297" s="71"/>
      <c r="CD297" s="20" t="e">
        <f t="shared" si="33"/>
        <v>#N/A</v>
      </c>
    </row>
    <row r="298" spans="1:82" ht="61.5" x14ac:dyDescent="0.85">
      <c r="A298" s="20">
        <v>1</v>
      </c>
      <c r="B298" s="66">
        <f>SUBTOTAL(103,$A$22:A298)</f>
        <v>265</v>
      </c>
      <c r="C298" s="24" t="s">
        <v>706</v>
      </c>
      <c r="D298" s="31">
        <f>E298+F298+G298+H298+I298+J298+L298+N298+P298+R298+T298+U298+V298+W298+X298+Y298+Z298+AA298+AB298+AC298+AD298+AE298</f>
        <v>197764.79</v>
      </c>
      <c r="E298" s="38">
        <v>0</v>
      </c>
      <c r="F298" s="38">
        <v>0</v>
      </c>
      <c r="G298" s="31">
        <v>0</v>
      </c>
      <c r="H298" s="38">
        <v>0</v>
      </c>
      <c r="I298" s="31">
        <f>108960.17+46473.12</f>
        <v>155433.29</v>
      </c>
      <c r="J298" s="38">
        <v>0</v>
      </c>
      <c r="K298" s="33">
        <v>0</v>
      </c>
      <c r="L298" s="31">
        <v>0</v>
      </c>
      <c r="M298" s="31">
        <v>0</v>
      </c>
      <c r="N298" s="31">
        <v>0</v>
      </c>
      <c r="O298" s="38">
        <v>0</v>
      </c>
      <c r="P298" s="38">
        <v>0</v>
      </c>
      <c r="Q298" s="31">
        <v>0</v>
      </c>
      <c r="R298" s="31">
        <v>0</v>
      </c>
      <c r="S298" s="31">
        <v>0</v>
      </c>
      <c r="T298" s="31">
        <v>0</v>
      </c>
      <c r="U298" s="31">
        <v>0</v>
      </c>
      <c r="V298" s="31">
        <v>0</v>
      </c>
      <c r="W298" s="31">
        <v>0</v>
      </c>
      <c r="X298" s="31">
        <v>0</v>
      </c>
      <c r="Y298" s="31">
        <v>0</v>
      </c>
      <c r="Z298" s="31">
        <v>0</v>
      </c>
      <c r="AA298" s="31">
        <v>0</v>
      </c>
      <c r="AB298" s="31">
        <v>0</v>
      </c>
      <c r="AC298" s="31">
        <f>ROUND((E298+F298+G298+H298+I298+J298)*1.5%,2)</f>
        <v>2331.5</v>
      </c>
      <c r="AD298" s="31">
        <v>40000</v>
      </c>
      <c r="AE298" s="31">
        <v>0</v>
      </c>
      <c r="AF298" s="34">
        <v>2020</v>
      </c>
      <c r="AG298" s="34">
        <v>2020</v>
      </c>
      <c r="AH298" s="35">
        <v>2020</v>
      </c>
      <c r="AT298" s="20" t="e">
        <f>VLOOKUP(C298,AW:AX,2,FALSE)</f>
        <v>#N/A</v>
      </c>
      <c r="BZ298" s="71"/>
      <c r="CD298" s="20" t="e">
        <f t="shared" si="33"/>
        <v>#N/A</v>
      </c>
    </row>
    <row r="299" spans="1:82" ht="61.5" x14ac:dyDescent="0.85">
      <c r="A299" s="20">
        <v>1</v>
      </c>
      <c r="B299" s="66">
        <f>SUBTOTAL(103,$A$22:A299)</f>
        <v>266</v>
      </c>
      <c r="C299" s="24" t="s">
        <v>705</v>
      </c>
      <c r="D299" s="31">
        <f>E299+F299+G299+H299+I299+J299+L299+N299+P299+R299+T299+U299+V299+W299+X299+Y299+Z299+AA299+AB299+AC299+AD299+AE299</f>
        <v>617736.44999999995</v>
      </c>
      <c r="E299" s="38">
        <v>0</v>
      </c>
      <c r="F299" s="38">
        <v>0</v>
      </c>
      <c r="G299" s="31">
        <v>0</v>
      </c>
      <c r="H299" s="38">
        <v>0</v>
      </c>
      <c r="I299" s="31">
        <v>539641.81999999995</v>
      </c>
      <c r="J299" s="38">
        <v>0</v>
      </c>
      <c r="K299" s="33">
        <v>0</v>
      </c>
      <c r="L299" s="31">
        <v>0</v>
      </c>
      <c r="M299" s="31">
        <v>0</v>
      </c>
      <c r="N299" s="31">
        <v>0</v>
      </c>
      <c r="O299" s="38">
        <v>0</v>
      </c>
      <c r="P299" s="38">
        <v>0</v>
      </c>
      <c r="Q299" s="31">
        <v>0</v>
      </c>
      <c r="R299" s="31">
        <v>0</v>
      </c>
      <c r="S299" s="31">
        <v>0</v>
      </c>
      <c r="T299" s="31">
        <v>0</v>
      </c>
      <c r="U299" s="31">
        <v>0</v>
      </c>
      <c r="V299" s="31">
        <v>0</v>
      </c>
      <c r="W299" s="31">
        <v>0</v>
      </c>
      <c r="X299" s="31">
        <v>0</v>
      </c>
      <c r="Y299" s="31">
        <v>0</v>
      </c>
      <c r="Z299" s="31">
        <v>0</v>
      </c>
      <c r="AA299" s="31">
        <v>0</v>
      </c>
      <c r="AB299" s="31">
        <v>0</v>
      </c>
      <c r="AC299" s="31">
        <f>ROUND((E299+F299+G299+H299+I299+J299)*1.5%,2)</f>
        <v>8094.63</v>
      </c>
      <c r="AD299" s="31">
        <v>70000</v>
      </c>
      <c r="AE299" s="31">
        <v>0</v>
      </c>
      <c r="AF299" s="34">
        <v>2020</v>
      </c>
      <c r="AG299" s="34">
        <v>2020</v>
      </c>
      <c r="AH299" s="35">
        <v>2020</v>
      </c>
      <c r="AT299" s="20" t="e">
        <f>VLOOKUP(C299,AW:AX,2,FALSE)</f>
        <v>#N/A</v>
      </c>
      <c r="BZ299" s="71"/>
      <c r="CD299" s="20" t="e">
        <f t="shared" si="33"/>
        <v>#N/A</v>
      </c>
    </row>
    <row r="300" spans="1:82" ht="61.5" x14ac:dyDescent="0.85">
      <c r="A300" s="20">
        <v>1</v>
      </c>
      <c r="B300" s="66">
        <f>SUBTOTAL(103,$A$22:A300)</f>
        <v>267</v>
      </c>
      <c r="C300" s="24" t="s">
        <v>1239</v>
      </c>
      <c r="D300" s="31">
        <f>E300+F300+G300+H300+I300+J300+L300+N300+P300+R300+T300+U300+V300+W300+X300+Y300+Z300+AA300+AB300+AC300+AD300+AE300</f>
        <v>556946.59000000008</v>
      </c>
      <c r="E300" s="38">
        <v>230449.88</v>
      </c>
      <c r="F300" s="38">
        <v>0</v>
      </c>
      <c r="G300" s="31">
        <v>0</v>
      </c>
      <c r="H300" s="38">
        <v>318265.97000000003</v>
      </c>
      <c r="I300" s="38">
        <v>0</v>
      </c>
      <c r="J300" s="38">
        <v>0</v>
      </c>
      <c r="K300" s="33">
        <v>0</v>
      </c>
      <c r="L300" s="31">
        <v>0</v>
      </c>
      <c r="M300" s="31">
        <v>0</v>
      </c>
      <c r="N300" s="31">
        <v>0</v>
      </c>
      <c r="O300" s="38">
        <v>0</v>
      </c>
      <c r="P300" s="38">
        <v>0</v>
      </c>
      <c r="Q300" s="31">
        <v>0</v>
      </c>
      <c r="R300" s="31">
        <v>0</v>
      </c>
      <c r="S300" s="31">
        <v>0</v>
      </c>
      <c r="T300" s="31">
        <v>0</v>
      </c>
      <c r="U300" s="31">
        <v>0</v>
      </c>
      <c r="V300" s="31">
        <v>0</v>
      </c>
      <c r="W300" s="31">
        <v>0</v>
      </c>
      <c r="X300" s="31">
        <v>0</v>
      </c>
      <c r="Y300" s="31">
        <v>0</v>
      </c>
      <c r="Z300" s="31">
        <v>0</v>
      </c>
      <c r="AA300" s="31">
        <v>0</v>
      </c>
      <c r="AB300" s="31">
        <v>0</v>
      </c>
      <c r="AC300" s="31">
        <f>ROUND((E300+F300+G300+H300+I300+J300)*1.5%,2)</f>
        <v>8230.74</v>
      </c>
      <c r="AD300" s="31">
        <v>0</v>
      </c>
      <c r="AE300" s="31">
        <v>0</v>
      </c>
      <c r="AF300" s="34" t="s">
        <v>274</v>
      </c>
      <c r="AG300" s="34">
        <v>2020</v>
      </c>
      <c r="AH300" s="35">
        <v>2020</v>
      </c>
      <c r="BZ300" s="71"/>
      <c r="CD300" s="20" t="e">
        <f t="shared" si="33"/>
        <v>#N/A</v>
      </c>
    </row>
    <row r="301" spans="1:82" ht="61.5" x14ac:dyDescent="0.85">
      <c r="A301" s="20">
        <v>1</v>
      </c>
      <c r="B301" s="66">
        <f>SUBTOTAL(103,$A$22:A301)</f>
        <v>268</v>
      </c>
      <c r="C301" s="24" t="s">
        <v>1240</v>
      </c>
      <c r="D301" s="31">
        <f>E301+F301+G301+H301+I301+J301+L301+N301+P301+R301+T301+U301+V301+W301+X301+Y301+Z301+AA301+AB301+AC301+AD301+AE301</f>
        <v>211453.36</v>
      </c>
      <c r="E301" s="38">
        <v>0</v>
      </c>
      <c r="F301" s="38">
        <v>0</v>
      </c>
      <c r="G301" s="31">
        <v>0</v>
      </c>
      <c r="H301" s="38">
        <v>78418.2</v>
      </c>
      <c r="I301" s="38">
        <v>129910.23</v>
      </c>
      <c r="J301" s="38">
        <v>0</v>
      </c>
      <c r="K301" s="33">
        <v>0</v>
      </c>
      <c r="L301" s="31">
        <v>0</v>
      </c>
      <c r="M301" s="31">
        <v>0</v>
      </c>
      <c r="N301" s="31">
        <v>0</v>
      </c>
      <c r="O301" s="38">
        <v>0</v>
      </c>
      <c r="P301" s="38">
        <v>0</v>
      </c>
      <c r="Q301" s="31">
        <v>0</v>
      </c>
      <c r="R301" s="31">
        <v>0</v>
      </c>
      <c r="S301" s="31">
        <v>0</v>
      </c>
      <c r="T301" s="31">
        <v>0</v>
      </c>
      <c r="U301" s="31">
        <v>0</v>
      </c>
      <c r="V301" s="31">
        <v>0</v>
      </c>
      <c r="W301" s="31">
        <v>0</v>
      </c>
      <c r="X301" s="31">
        <v>0</v>
      </c>
      <c r="Y301" s="31">
        <v>0</v>
      </c>
      <c r="Z301" s="31">
        <v>0</v>
      </c>
      <c r="AA301" s="31">
        <v>0</v>
      </c>
      <c r="AB301" s="31">
        <v>0</v>
      </c>
      <c r="AC301" s="31">
        <f>ROUND((E301+F301+G301+H301+I301+J301)*1.5%,2)</f>
        <v>3124.93</v>
      </c>
      <c r="AD301" s="31">
        <v>0</v>
      </c>
      <c r="AE301" s="31">
        <v>0</v>
      </c>
      <c r="AF301" s="34" t="s">
        <v>274</v>
      </c>
      <c r="AG301" s="34">
        <v>2020</v>
      </c>
      <c r="AH301" s="35">
        <v>2020</v>
      </c>
      <c r="BZ301" s="71"/>
      <c r="CD301" s="20" t="e">
        <f t="shared" si="33"/>
        <v>#N/A</v>
      </c>
    </row>
    <row r="302" spans="1:82" ht="61.5" x14ac:dyDescent="0.85">
      <c r="B302" s="24" t="s">
        <v>847</v>
      </c>
      <c r="C302" s="24"/>
      <c r="D302" s="31">
        <f>D303</f>
        <v>3674943.51</v>
      </c>
      <c r="E302" s="31">
        <f t="shared" ref="E302:AE302" si="39">E303</f>
        <v>0</v>
      </c>
      <c r="F302" s="31">
        <f t="shared" si="39"/>
        <v>0</v>
      </c>
      <c r="G302" s="31">
        <f t="shared" si="39"/>
        <v>0</v>
      </c>
      <c r="H302" s="31">
        <f t="shared" si="39"/>
        <v>0</v>
      </c>
      <c r="I302" s="31">
        <f t="shared" si="39"/>
        <v>0</v>
      </c>
      <c r="J302" s="31">
        <f t="shared" si="39"/>
        <v>0</v>
      </c>
      <c r="K302" s="33">
        <f t="shared" si="39"/>
        <v>0</v>
      </c>
      <c r="L302" s="31">
        <f t="shared" si="39"/>
        <v>0</v>
      </c>
      <c r="M302" s="31">
        <f t="shared" si="39"/>
        <v>701.9</v>
      </c>
      <c r="N302" s="31">
        <f t="shared" si="39"/>
        <v>3472850.75</v>
      </c>
      <c r="O302" s="31">
        <f t="shared" si="39"/>
        <v>0</v>
      </c>
      <c r="P302" s="31">
        <f t="shared" si="39"/>
        <v>0</v>
      </c>
      <c r="Q302" s="31">
        <f t="shared" si="39"/>
        <v>0</v>
      </c>
      <c r="R302" s="31">
        <f t="shared" si="39"/>
        <v>0</v>
      </c>
      <c r="S302" s="31">
        <f t="shared" si="39"/>
        <v>0</v>
      </c>
      <c r="T302" s="31">
        <f t="shared" si="39"/>
        <v>0</v>
      </c>
      <c r="U302" s="31">
        <f t="shared" si="39"/>
        <v>0</v>
      </c>
      <c r="V302" s="31">
        <f t="shared" si="39"/>
        <v>0</v>
      </c>
      <c r="W302" s="31">
        <f t="shared" si="39"/>
        <v>0</v>
      </c>
      <c r="X302" s="31">
        <f t="shared" si="39"/>
        <v>0</v>
      </c>
      <c r="Y302" s="31">
        <f t="shared" si="39"/>
        <v>0</v>
      </c>
      <c r="Z302" s="31">
        <f t="shared" si="39"/>
        <v>0</v>
      </c>
      <c r="AA302" s="31">
        <f t="shared" si="39"/>
        <v>0</v>
      </c>
      <c r="AB302" s="31">
        <f t="shared" si="39"/>
        <v>0</v>
      </c>
      <c r="AC302" s="31">
        <f t="shared" si="39"/>
        <v>52092.76</v>
      </c>
      <c r="AD302" s="31">
        <f t="shared" si="39"/>
        <v>150000</v>
      </c>
      <c r="AE302" s="31">
        <f t="shared" si="39"/>
        <v>0</v>
      </c>
      <c r="AF302" s="72" t="s">
        <v>776</v>
      </c>
      <c r="AG302" s="72" t="s">
        <v>776</v>
      </c>
      <c r="AH302" s="89" t="s">
        <v>776</v>
      </c>
      <c r="AT302" s="20" t="e">
        <f t="shared" ref="AT302:AT312" si="40">VLOOKUP(C302,AW:AX,2,FALSE)</f>
        <v>#N/A</v>
      </c>
      <c r="BZ302" s="71">
        <v>3674943.51</v>
      </c>
      <c r="CD302" s="20" t="e">
        <f t="shared" si="33"/>
        <v>#N/A</v>
      </c>
    </row>
    <row r="303" spans="1:82" ht="61.5" x14ac:dyDescent="0.85">
      <c r="A303" s="20">
        <v>1</v>
      </c>
      <c r="B303" s="66">
        <f>SUBTOTAL(103,$A$22:A303)</f>
        <v>269</v>
      </c>
      <c r="C303" s="24" t="s">
        <v>703</v>
      </c>
      <c r="D303" s="31">
        <f>E303+F303+G303+H303+I303+J303+L303+N303+P303+R303+T303+U303+V303+W303+X303+Y303+Z303+AA303+AB303+AC303+AD303+AE303</f>
        <v>3674943.51</v>
      </c>
      <c r="E303" s="38">
        <v>0</v>
      </c>
      <c r="F303" s="38">
        <v>0</v>
      </c>
      <c r="G303" s="31">
        <v>0</v>
      </c>
      <c r="H303" s="38">
        <v>0</v>
      </c>
      <c r="I303" s="38">
        <v>0</v>
      </c>
      <c r="J303" s="38">
        <v>0</v>
      </c>
      <c r="K303" s="33">
        <v>0</v>
      </c>
      <c r="L303" s="31">
        <v>0</v>
      </c>
      <c r="M303" s="31">
        <v>701.9</v>
      </c>
      <c r="N303" s="31">
        <f>2657253.18+813796.71+1800.86</f>
        <v>3472850.75</v>
      </c>
      <c r="O303" s="38">
        <v>0</v>
      </c>
      <c r="P303" s="38">
        <v>0</v>
      </c>
      <c r="Q303" s="31">
        <v>0</v>
      </c>
      <c r="R303" s="31">
        <v>0</v>
      </c>
      <c r="S303" s="31">
        <v>0</v>
      </c>
      <c r="T303" s="31">
        <v>0</v>
      </c>
      <c r="U303" s="31">
        <v>0</v>
      </c>
      <c r="V303" s="31">
        <v>0</v>
      </c>
      <c r="W303" s="31">
        <v>0</v>
      </c>
      <c r="X303" s="31">
        <v>0</v>
      </c>
      <c r="Y303" s="31">
        <v>0</v>
      </c>
      <c r="Z303" s="31">
        <v>0</v>
      </c>
      <c r="AA303" s="31">
        <v>0</v>
      </c>
      <c r="AB303" s="31">
        <v>0</v>
      </c>
      <c r="AC303" s="31">
        <f>ROUND(N303*1.5%,2)</f>
        <v>52092.76</v>
      </c>
      <c r="AD303" s="31">
        <v>150000</v>
      </c>
      <c r="AE303" s="31">
        <v>0</v>
      </c>
      <c r="AF303" s="34">
        <v>2020</v>
      </c>
      <c r="AG303" s="34">
        <v>2020</v>
      </c>
      <c r="AH303" s="35">
        <v>2020</v>
      </c>
      <c r="AT303" s="20" t="e">
        <f t="shared" si="40"/>
        <v>#N/A</v>
      </c>
      <c r="BZ303" s="71"/>
      <c r="CD303" s="20" t="e">
        <f t="shared" si="33"/>
        <v>#N/A</v>
      </c>
    </row>
    <row r="304" spans="1:82" ht="61.5" x14ac:dyDescent="0.85">
      <c r="B304" s="24" t="s">
        <v>848</v>
      </c>
      <c r="C304" s="24"/>
      <c r="D304" s="31">
        <f>SUM(D305:D321)</f>
        <v>50473058.759999998</v>
      </c>
      <c r="E304" s="31">
        <f t="shared" ref="E304:AE304" si="41">SUM(E305:E321)</f>
        <v>0</v>
      </c>
      <c r="F304" s="31">
        <f t="shared" si="41"/>
        <v>0</v>
      </c>
      <c r="G304" s="31">
        <f t="shared" si="41"/>
        <v>0</v>
      </c>
      <c r="H304" s="31">
        <f t="shared" si="41"/>
        <v>0</v>
      </c>
      <c r="I304" s="31">
        <f t="shared" si="41"/>
        <v>0</v>
      </c>
      <c r="J304" s="31">
        <f t="shared" si="41"/>
        <v>0</v>
      </c>
      <c r="K304" s="33">
        <f t="shared" si="41"/>
        <v>6</v>
      </c>
      <c r="L304" s="31">
        <f t="shared" si="41"/>
        <v>11970151.5</v>
      </c>
      <c r="M304" s="31">
        <f t="shared" si="41"/>
        <v>8199.32</v>
      </c>
      <c r="N304" s="31">
        <f t="shared" si="41"/>
        <v>31334656.82</v>
      </c>
      <c r="O304" s="31">
        <f t="shared" si="41"/>
        <v>0</v>
      </c>
      <c r="P304" s="31">
        <f t="shared" si="41"/>
        <v>0</v>
      </c>
      <c r="Q304" s="31">
        <f t="shared" si="41"/>
        <v>1525.24</v>
      </c>
      <c r="R304" s="31">
        <f t="shared" si="41"/>
        <v>4936345.04</v>
      </c>
      <c r="S304" s="31">
        <f t="shared" si="41"/>
        <v>0</v>
      </c>
      <c r="T304" s="31">
        <f t="shared" si="41"/>
        <v>0</v>
      </c>
      <c r="U304" s="31">
        <f t="shared" si="41"/>
        <v>0</v>
      </c>
      <c r="V304" s="31">
        <f t="shared" si="41"/>
        <v>0</v>
      </c>
      <c r="W304" s="31">
        <f t="shared" si="41"/>
        <v>0</v>
      </c>
      <c r="X304" s="31">
        <f t="shared" si="41"/>
        <v>0</v>
      </c>
      <c r="Y304" s="31">
        <f t="shared" si="41"/>
        <v>0</v>
      </c>
      <c r="Z304" s="31">
        <f t="shared" si="41"/>
        <v>0</v>
      </c>
      <c r="AA304" s="31">
        <f t="shared" si="41"/>
        <v>0</v>
      </c>
      <c r="AB304" s="31">
        <f t="shared" si="41"/>
        <v>0</v>
      </c>
      <c r="AC304" s="31">
        <f t="shared" si="41"/>
        <v>544065.02</v>
      </c>
      <c r="AD304" s="31">
        <f t="shared" si="41"/>
        <v>1087840.3799999999</v>
      </c>
      <c r="AE304" s="31">
        <f t="shared" si="41"/>
        <v>600000</v>
      </c>
      <c r="AF304" s="72" t="s">
        <v>776</v>
      </c>
      <c r="AG304" s="72" t="s">
        <v>776</v>
      </c>
      <c r="AH304" s="89" t="s">
        <v>776</v>
      </c>
      <c r="AT304" s="20" t="e">
        <f t="shared" si="40"/>
        <v>#N/A</v>
      </c>
      <c r="BZ304" s="71">
        <v>50473058.759999998</v>
      </c>
      <c r="CB304" s="71">
        <f>BZ304-D304</f>
        <v>0</v>
      </c>
      <c r="CD304" s="20" t="e">
        <f t="shared" si="33"/>
        <v>#N/A</v>
      </c>
    </row>
    <row r="305" spans="1:82" ht="61.5" x14ac:dyDescent="0.85">
      <c r="A305" s="20">
        <v>1</v>
      </c>
      <c r="B305" s="66">
        <f>SUBTOTAL(103,$A$22:A305)</f>
        <v>270</v>
      </c>
      <c r="C305" s="24" t="s">
        <v>707</v>
      </c>
      <c r="D305" s="31">
        <f t="shared" ref="D305:D321" si="42">E305+F305+G305+H305+I305+J305+L305+N305+P305+R305+T305+U305+V305+W305+X305+Y305+Z305+AA305+AB305+AC305+AD305+AE305</f>
        <v>3681369</v>
      </c>
      <c r="E305" s="38">
        <v>0</v>
      </c>
      <c r="F305" s="38">
        <v>0</v>
      </c>
      <c r="G305" s="31">
        <v>0</v>
      </c>
      <c r="H305" s="38">
        <v>0</v>
      </c>
      <c r="I305" s="38">
        <v>0</v>
      </c>
      <c r="J305" s="38">
        <v>0</v>
      </c>
      <c r="K305" s="33">
        <v>0</v>
      </c>
      <c r="L305" s="31">
        <v>0</v>
      </c>
      <c r="M305" s="31">
        <v>705</v>
      </c>
      <c r="N305" s="31">
        <v>3479181.28</v>
      </c>
      <c r="O305" s="38">
        <v>0</v>
      </c>
      <c r="P305" s="38">
        <v>0</v>
      </c>
      <c r="Q305" s="31">
        <v>0</v>
      </c>
      <c r="R305" s="31">
        <v>0</v>
      </c>
      <c r="S305" s="31">
        <v>0</v>
      </c>
      <c r="T305" s="31">
        <v>0</v>
      </c>
      <c r="U305" s="31">
        <v>0</v>
      </c>
      <c r="V305" s="31">
        <v>0</v>
      </c>
      <c r="W305" s="31">
        <v>0</v>
      </c>
      <c r="X305" s="31">
        <v>0</v>
      </c>
      <c r="Y305" s="31">
        <v>0</v>
      </c>
      <c r="Z305" s="31">
        <v>0</v>
      </c>
      <c r="AA305" s="31">
        <v>0</v>
      </c>
      <c r="AB305" s="31">
        <v>0</v>
      </c>
      <c r="AC305" s="31">
        <f>ROUND(N305*1.5%,2)</f>
        <v>52187.72</v>
      </c>
      <c r="AD305" s="31">
        <v>150000</v>
      </c>
      <c r="AE305" s="31">
        <v>0</v>
      </c>
      <c r="AF305" s="34">
        <v>2020</v>
      </c>
      <c r="AG305" s="34">
        <v>2020</v>
      </c>
      <c r="AH305" s="35">
        <v>2020</v>
      </c>
      <c r="AT305" s="20" t="e">
        <f t="shared" si="40"/>
        <v>#N/A</v>
      </c>
      <c r="BZ305" s="71"/>
      <c r="CD305" s="20" t="e">
        <f t="shared" si="33"/>
        <v>#N/A</v>
      </c>
    </row>
    <row r="306" spans="1:82" ht="61.5" x14ac:dyDescent="0.85">
      <c r="A306" s="20">
        <v>1</v>
      </c>
      <c r="B306" s="66">
        <f>SUBTOTAL(103,$A$22:A306)</f>
        <v>271</v>
      </c>
      <c r="C306" s="24" t="s">
        <v>691</v>
      </c>
      <c r="D306" s="31">
        <f t="shared" si="42"/>
        <v>3924195.01</v>
      </c>
      <c r="E306" s="38">
        <v>0</v>
      </c>
      <c r="F306" s="38">
        <v>0</v>
      </c>
      <c r="G306" s="31">
        <v>0</v>
      </c>
      <c r="H306" s="38">
        <v>0</v>
      </c>
      <c r="I306" s="38">
        <v>0</v>
      </c>
      <c r="J306" s="38">
        <v>0</v>
      </c>
      <c r="K306" s="33">
        <v>0</v>
      </c>
      <c r="L306" s="31">
        <v>0</v>
      </c>
      <c r="M306" s="31">
        <v>795</v>
      </c>
      <c r="N306" s="31">
        <f>2827830.09+890588.64</f>
        <v>3718418.73</v>
      </c>
      <c r="O306" s="38">
        <v>0</v>
      </c>
      <c r="P306" s="38">
        <v>0</v>
      </c>
      <c r="Q306" s="31">
        <v>0</v>
      </c>
      <c r="R306" s="31">
        <v>0</v>
      </c>
      <c r="S306" s="31">
        <v>0</v>
      </c>
      <c r="T306" s="31">
        <v>0</v>
      </c>
      <c r="U306" s="31">
        <v>0</v>
      </c>
      <c r="V306" s="31">
        <v>0</v>
      </c>
      <c r="W306" s="31">
        <v>0</v>
      </c>
      <c r="X306" s="31">
        <v>0</v>
      </c>
      <c r="Y306" s="31">
        <v>0</v>
      </c>
      <c r="Z306" s="31">
        <v>0</v>
      </c>
      <c r="AA306" s="31">
        <v>0</v>
      </c>
      <c r="AB306" s="31">
        <v>0</v>
      </c>
      <c r="AC306" s="31">
        <f>ROUND(N306*1.5%,2)</f>
        <v>55776.28</v>
      </c>
      <c r="AD306" s="31">
        <v>150000</v>
      </c>
      <c r="AE306" s="31">
        <v>0</v>
      </c>
      <c r="AF306" s="34">
        <v>2020</v>
      </c>
      <c r="AG306" s="34">
        <v>2020</v>
      </c>
      <c r="AH306" s="35">
        <v>2020</v>
      </c>
      <c r="AT306" s="20" t="e">
        <f t="shared" si="40"/>
        <v>#N/A</v>
      </c>
      <c r="BZ306" s="71"/>
      <c r="CD306" s="20" t="e">
        <f t="shared" si="33"/>
        <v>#N/A</v>
      </c>
    </row>
    <row r="307" spans="1:82" ht="61.5" x14ac:dyDescent="0.85">
      <c r="A307" s="20">
        <v>1</v>
      </c>
      <c r="B307" s="66">
        <f>SUBTOTAL(103,$A$22:A307)</f>
        <v>272</v>
      </c>
      <c r="C307" s="24" t="s">
        <v>686</v>
      </c>
      <c r="D307" s="31">
        <f t="shared" si="42"/>
        <v>1863988.34</v>
      </c>
      <c r="E307" s="38">
        <v>0</v>
      </c>
      <c r="F307" s="38">
        <v>0</v>
      </c>
      <c r="G307" s="31">
        <v>0</v>
      </c>
      <c r="H307" s="38">
        <v>0</v>
      </c>
      <c r="I307" s="38">
        <v>0</v>
      </c>
      <c r="J307" s="38">
        <v>0</v>
      </c>
      <c r="K307" s="33">
        <v>0</v>
      </c>
      <c r="L307" s="31">
        <v>0</v>
      </c>
      <c r="M307" s="31">
        <v>900</v>
      </c>
      <c r="N307" s="31">
        <v>1737919.55</v>
      </c>
      <c r="O307" s="38">
        <v>0</v>
      </c>
      <c r="P307" s="38">
        <v>0</v>
      </c>
      <c r="Q307" s="31">
        <v>0</v>
      </c>
      <c r="R307" s="31">
        <v>0</v>
      </c>
      <c r="S307" s="31">
        <v>0</v>
      </c>
      <c r="T307" s="31">
        <v>0</v>
      </c>
      <c r="U307" s="31">
        <v>0</v>
      </c>
      <c r="V307" s="31">
        <v>0</v>
      </c>
      <c r="W307" s="31">
        <v>0</v>
      </c>
      <c r="X307" s="31">
        <v>0</v>
      </c>
      <c r="Y307" s="31">
        <v>0</v>
      </c>
      <c r="Z307" s="31">
        <v>0</v>
      </c>
      <c r="AA307" s="31">
        <v>0</v>
      </c>
      <c r="AB307" s="31">
        <v>0</v>
      </c>
      <c r="AC307" s="31">
        <f>ROUND(N307*1.5%,2)</f>
        <v>26068.79</v>
      </c>
      <c r="AD307" s="31">
        <v>100000</v>
      </c>
      <c r="AE307" s="31">
        <v>0</v>
      </c>
      <c r="AF307" s="34">
        <v>2020</v>
      </c>
      <c r="AG307" s="34">
        <v>2020</v>
      </c>
      <c r="AH307" s="35">
        <v>2020</v>
      </c>
      <c r="AT307" s="20" t="e">
        <f t="shared" si="40"/>
        <v>#N/A</v>
      </c>
      <c r="BZ307" s="71"/>
      <c r="CD307" s="20">
        <f t="shared" si="33"/>
        <v>900</v>
      </c>
    </row>
    <row r="308" spans="1:82" ht="61.5" x14ac:dyDescent="0.85">
      <c r="A308" s="20">
        <v>1</v>
      </c>
      <c r="B308" s="66">
        <f>SUBTOTAL(103,$A$22:A308)</f>
        <v>273</v>
      </c>
      <c r="C308" s="24" t="s">
        <v>687</v>
      </c>
      <c r="D308" s="31">
        <f t="shared" si="42"/>
        <v>1863988.34</v>
      </c>
      <c r="E308" s="38">
        <v>0</v>
      </c>
      <c r="F308" s="38">
        <v>0</v>
      </c>
      <c r="G308" s="31">
        <v>0</v>
      </c>
      <c r="H308" s="38">
        <v>0</v>
      </c>
      <c r="I308" s="38">
        <v>0</v>
      </c>
      <c r="J308" s="38">
        <v>0</v>
      </c>
      <c r="K308" s="33">
        <v>0</v>
      </c>
      <c r="L308" s="31">
        <v>0</v>
      </c>
      <c r="M308" s="31">
        <v>900</v>
      </c>
      <c r="N308" s="31">
        <v>1737919.55</v>
      </c>
      <c r="O308" s="38">
        <v>0</v>
      </c>
      <c r="P308" s="38">
        <v>0</v>
      </c>
      <c r="Q308" s="31">
        <v>0</v>
      </c>
      <c r="R308" s="31">
        <v>0</v>
      </c>
      <c r="S308" s="31">
        <v>0</v>
      </c>
      <c r="T308" s="31">
        <v>0</v>
      </c>
      <c r="U308" s="31">
        <v>0</v>
      </c>
      <c r="V308" s="31">
        <v>0</v>
      </c>
      <c r="W308" s="31">
        <v>0</v>
      </c>
      <c r="X308" s="31">
        <v>0</v>
      </c>
      <c r="Y308" s="31">
        <v>0</v>
      </c>
      <c r="Z308" s="31">
        <v>0</v>
      </c>
      <c r="AA308" s="31">
        <v>0</v>
      </c>
      <c r="AB308" s="31">
        <v>0</v>
      </c>
      <c r="AC308" s="31">
        <f>ROUND(N308*1.5%,2)</f>
        <v>26068.79</v>
      </c>
      <c r="AD308" s="31">
        <v>100000</v>
      </c>
      <c r="AE308" s="31">
        <v>0</v>
      </c>
      <c r="AF308" s="34">
        <v>2020</v>
      </c>
      <c r="AG308" s="34">
        <v>2020</v>
      </c>
      <c r="AH308" s="35">
        <v>2020</v>
      </c>
      <c r="AT308" s="20" t="e">
        <f t="shared" si="40"/>
        <v>#N/A</v>
      </c>
      <c r="BZ308" s="71"/>
      <c r="CD308" s="20">
        <f t="shared" si="33"/>
        <v>900</v>
      </c>
    </row>
    <row r="309" spans="1:82" ht="61.5" x14ac:dyDescent="0.85">
      <c r="A309" s="20">
        <v>1</v>
      </c>
      <c r="B309" s="66">
        <f>SUBTOTAL(103,$A$22:A309)</f>
        <v>274</v>
      </c>
      <c r="C309" s="24" t="s">
        <v>688</v>
      </c>
      <c r="D309" s="31">
        <f t="shared" si="42"/>
        <v>1863988.32</v>
      </c>
      <c r="E309" s="38">
        <v>0</v>
      </c>
      <c r="F309" s="38">
        <v>0</v>
      </c>
      <c r="G309" s="31">
        <v>0</v>
      </c>
      <c r="H309" s="38">
        <v>0</v>
      </c>
      <c r="I309" s="38">
        <v>0</v>
      </c>
      <c r="J309" s="38">
        <v>0</v>
      </c>
      <c r="K309" s="33">
        <v>0</v>
      </c>
      <c r="L309" s="31">
        <v>0</v>
      </c>
      <c r="M309" s="31">
        <v>900</v>
      </c>
      <c r="N309" s="31">
        <v>1737919.53</v>
      </c>
      <c r="O309" s="38">
        <v>0</v>
      </c>
      <c r="P309" s="38">
        <v>0</v>
      </c>
      <c r="Q309" s="31">
        <v>0</v>
      </c>
      <c r="R309" s="31">
        <v>0</v>
      </c>
      <c r="S309" s="31">
        <v>0</v>
      </c>
      <c r="T309" s="31">
        <v>0</v>
      </c>
      <c r="U309" s="31">
        <v>0</v>
      </c>
      <c r="V309" s="31">
        <v>0</v>
      </c>
      <c r="W309" s="31">
        <v>0</v>
      </c>
      <c r="X309" s="31">
        <v>0</v>
      </c>
      <c r="Y309" s="31">
        <v>0</v>
      </c>
      <c r="Z309" s="31">
        <v>0</v>
      </c>
      <c r="AA309" s="31">
        <v>0</v>
      </c>
      <c r="AB309" s="31">
        <v>0</v>
      </c>
      <c r="AC309" s="31">
        <f>ROUND(N309*1.5%,2)</f>
        <v>26068.79</v>
      </c>
      <c r="AD309" s="31">
        <v>100000</v>
      </c>
      <c r="AE309" s="31">
        <v>0</v>
      </c>
      <c r="AF309" s="34">
        <v>2020</v>
      </c>
      <c r="AG309" s="34">
        <v>2020</v>
      </c>
      <c r="AH309" s="35">
        <v>2020</v>
      </c>
      <c r="AT309" s="20" t="e">
        <f t="shared" si="40"/>
        <v>#N/A</v>
      </c>
      <c r="BZ309" s="71"/>
      <c r="CD309" s="20">
        <f t="shared" si="33"/>
        <v>900</v>
      </c>
    </row>
    <row r="310" spans="1:82" ht="61.5" x14ac:dyDescent="0.85">
      <c r="A310" s="20">
        <v>1</v>
      </c>
      <c r="B310" s="66">
        <f>SUBTOTAL(103,$A$22:A310)</f>
        <v>275</v>
      </c>
      <c r="C310" s="24" t="s">
        <v>681</v>
      </c>
      <c r="D310" s="31">
        <f t="shared" si="42"/>
        <v>4445100</v>
      </c>
      <c r="E310" s="38">
        <v>0</v>
      </c>
      <c r="F310" s="38">
        <v>0</v>
      </c>
      <c r="G310" s="31">
        <v>0</v>
      </c>
      <c r="H310" s="38">
        <v>0</v>
      </c>
      <c r="I310" s="38">
        <v>0</v>
      </c>
      <c r="J310" s="38">
        <v>0</v>
      </c>
      <c r="K310" s="33">
        <v>2</v>
      </c>
      <c r="L310" s="31">
        <v>4345100</v>
      </c>
      <c r="M310" s="31">
        <v>0</v>
      </c>
      <c r="N310" s="31">
        <v>0</v>
      </c>
      <c r="O310" s="38">
        <v>0</v>
      </c>
      <c r="P310" s="38">
        <v>0</v>
      </c>
      <c r="Q310" s="31">
        <v>0</v>
      </c>
      <c r="R310" s="31">
        <v>0</v>
      </c>
      <c r="S310" s="31">
        <v>0</v>
      </c>
      <c r="T310" s="31">
        <v>0</v>
      </c>
      <c r="U310" s="31">
        <v>0</v>
      </c>
      <c r="V310" s="31">
        <v>0</v>
      </c>
      <c r="W310" s="31">
        <v>0</v>
      </c>
      <c r="X310" s="31">
        <v>0</v>
      </c>
      <c r="Y310" s="31">
        <v>0</v>
      </c>
      <c r="Z310" s="31">
        <v>0</v>
      </c>
      <c r="AA310" s="31">
        <v>0</v>
      </c>
      <c r="AB310" s="31">
        <v>0</v>
      </c>
      <c r="AC310" s="31">
        <v>0</v>
      </c>
      <c r="AD310" s="31">
        <v>100000</v>
      </c>
      <c r="AE310" s="31">
        <v>0</v>
      </c>
      <c r="AF310" s="34">
        <v>2020</v>
      </c>
      <c r="AG310" s="34">
        <v>2020</v>
      </c>
      <c r="AH310" s="35" t="s">
        <v>274</v>
      </c>
      <c r="AT310" s="20" t="e">
        <f t="shared" si="40"/>
        <v>#N/A</v>
      </c>
      <c r="BZ310" s="71"/>
      <c r="CD310" s="20" t="e">
        <f t="shared" si="33"/>
        <v>#N/A</v>
      </c>
    </row>
    <row r="311" spans="1:82" ht="61.5" x14ac:dyDescent="0.85">
      <c r="A311" s="20">
        <v>1</v>
      </c>
      <c r="B311" s="66">
        <f>SUBTOTAL(103,$A$22:A311)</f>
        <v>276</v>
      </c>
      <c r="C311" s="24" t="s">
        <v>694</v>
      </c>
      <c r="D311" s="31">
        <f t="shared" si="42"/>
        <v>2717424.7199999997</v>
      </c>
      <c r="E311" s="38">
        <v>0</v>
      </c>
      <c r="F311" s="38">
        <v>0</v>
      </c>
      <c r="G311" s="31">
        <v>0</v>
      </c>
      <c r="H311" s="38">
        <v>0</v>
      </c>
      <c r="I311" s="38">
        <v>0</v>
      </c>
      <c r="J311" s="38">
        <v>0</v>
      </c>
      <c r="K311" s="33">
        <v>0</v>
      </c>
      <c r="L311" s="31">
        <v>0</v>
      </c>
      <c r="M311" s="31">
        <v>520.4</v>
      </c>
      <c r="N311" s="31">
        <f>2529482.48-118226.6</f>
        <v>2411255.88</v>
      </c>
      <c r="O311" s="38">
        <v>0</v>
      </c>
      <c r="P311" s="38">
        <v>0</v>
      </c>
      <c r="Q311" s="31">
        <v>0</v>
      </c>
      <c r="R311" s="31">
        <v>0</v>
      </c>
      <c r="S311" s="31">
        <v>0</v>
      </c>
      <c r="T311" s="31">
        <v>0</v>
      </c>
      <c r="U311" s="31">
        <v>0</v>
      </c>
      <c r="V311" s="31">
        <v>0</v>
      </c>
      <c r="W311" s="31">
        <v>0</v>
      </c>
      <c r="X311" s="31">
        <v>0</v>
      </c>
      <c r="Y311" s="31">
        <v>0</v>
      </c>
      <c r="Z311" s="31">
        <v>0</v>
      </c>
      <c r="AA311" s="31">
        <v>0</v>
      </c>
      <c r="AB311" s="31">
        <v>0</v>
      </c>
      <c r="AC311" s="31">
        <f>ROUND(N311*1.5%,2)</f>
        <v>36168.839999999997</v>
      </c>
      <c r="AD311" s="31">
        <v>150000</v>
      </c>
      <c r="AE311" s="31">
        <v>120000</v>
      </c>
      <c r="AF311" s="34">
        <v>2020</v>
      </c>
      <c r="AG311" s="34">
        <v>2020</v>
      </c>
      <c r="AH311" s="35">
        <v>2020</v>
      </c>
      <c r="AT311" s="20" t="e">
        <f t="shared" si="40"/>
        <v>#N/A</v>
      </c>
      <c r="BZ311" s="71"/>
      <c r="CD311" s="20" t="e">
        <f t="shared" si="33"/>
        <v>#N/A</v>
      </c>
    </row>
    <row r="312" spans="1:82" ht="61.5" x14ac:dyDescent="0.85">
      <c r="A312" s="20">
        <v>1</v>
      </c>
      <c r="B312" s="66">
        <f>SUBTOTAL(103,$A$22:A312)</f>
        <v>277</v>
      </c>
      <c r="C312" s="24" t="s">
        <v>682</v>
      </c>
      <c r="D312" s="31">
        <f t="shared" si="42"/>
        <v>3885966.56</v>
      </c>
      <c r="E312" s="38">
        <v>0</v>
      </c>
      <c r="F312" s="38">
        <v>0</v>
      </c>
      <c r="G312" s="31">
        <v>0</v>
      </c>
      <c r="H312" s="38">
        <v>0</v>
      </c>
      <c r="I312" s="38">
        <v>0</v>
      </c>
      <c r="J312" s="38">
        <v>0</v>
      </c>
      <c r="K312" s="33">
        <v>0</v>
      </c>
      <c r="L312" s="31">
        <v>0</v>
      </c>
      <c r="M312" s="31">
        <v>758.8</v>
      </c>
      <c r="N312" s="31">
        <v>3680755.23</v>
      </c>
      <c r="O312" s="38">
        <v>0</v>
      </c>
      <c r="P312" s="38">
        <v>0</v>
      </c>
      <c r="Q312" s="31">
        <v>0</v>
      </c>
      <c r="R312" s="31">
        <v>0</v>
      </c>
      <c r="S312" s="31">
        <v>0</v>
      </c>
      <c r="T312" s="31">
        <v>0</v>
      </c>
      <c r="U312" s="31">
        <v>0</v>
      </c>
      <c r="V312" s="31">
        <v>0</v>
      </c>
      <c r="W312" s="31">
        <v>0</v>
      </c>
      <c r="X312" s="31">
        <v>0</v>
      </c>
      <c r="Y312" s="31">
        <v>0</v>
      </c>
      <c r="Z312" s="31">
        <v>0</v>
      </c>
      <c r="AA312" s="31">
        <v>0</v>
      </c>
      <c r="AB312" s="31">
        <v>0</v>
      </c>
      <c r="AC312" s="31">
        <f>ROUND(N312*1.5%,2)</f>
        <v>55211.33</v>
      </c>
      <c r="AD312" s="31">
        <v>150000</v>
      </c>
      <c r="AE312" s="31">
        <v>0</v>
      </c>
      <c r="AF312" s="34">
        <v>2020</v>
      </c>
      <c r="AG312" s="34">
        <v>2020</v>
      </c>
      <c r="AH312" s="35">
        <v>2020</v>
      </c>
      <c r="AT312" s="20" t="e">
        <f t="shared" si="40"/>
        <v>#N/A</v>
      </c>
      <c r="BZ312" s="71"/>
      <c r="CD312" s="20" t="e">
        <f t="shared" si="33"/>
        <v>#N/A</v>
      </c>
    </row>
    <row r="313" spans="1:82" ht="61.5" x14ac:dyDescent="0.85">
      <c r="A313" s="20">
        <v>1</v>
      </c>
      <c r="B313" s="66">
        <f>SUBTOTAL(103,$A$22:A313)</f>
        <v>278</v>
      </c>
      <c r="C313" s="24" t="s">
        <v>678</v>
      </c>
      <c r="D313" s="31">
        <f t="shared" si="42"/>
        <v>2213600.19</v>
      </c>
      <c r="E313" s="38">
        <v>0</v>
      </c>
      <c r="F313" s="38">
        <v>0</v>
      </c>
      <c r="G313" s="31">
        <v>0</v>
      </c>
      <c r="H313" s="38">
        <v>0</v>
      </c>
      <c r="I313" s="38">
        <v>0</v>
      </c>
      <c r="J313" s="38">
        <v>0</v>
      </c>
      <c r="K313" s="33">
        <v>0</v>
      </c>
      <c r="L313" s="31">
        <v>0</v>
      </c>
      <c r="M313" s="31">
        <v>0</v>
      </c>
      <c r="N313" s="31">
        <v>0</v>
      </c>
      <c r="O313" s="38">
        <v>0</v>
      </c>
      <c r="P313" s="38">
        <v>0</v>
      </c>
      <c r="Q313" s="31">
        <v>719.43</v>
      </c>
      <c r="R313" s="31">
        <f>2079598.77+101288.12</f>
        <v>2180886.89</v>
      </c>
      <c r="S313" s="31">
        <v>0</v>
      </c>
      <c r="T313" s="31">
        <v>0</v>
      </c>
      <c r="U313" s="31">
        <v>0</v>
      </c>
      <c r="V313" s="31">
        <v>0</v>
      </c>
      <c r="W313" s="31">
        <v>0</v>
      </c>
      <c r="X313" s="31">
        <v>0</v>
      </c>
      <c r="Y313" s="31">
        <v>0</v>
      </c>
      <c r="Z313" s="31">
        <v>0</v>
      </c>
      <c r="AA313" s="31">
        <v>0</v>
      </c>
      <c r="AB313" s="31">
        <v>0</v>
      </c>
      <c r="AC313" s="31">
        <f>ROUND(R313*1.5%,2)</f>
        <v>32713.3</v>
      </c>
      <c r="AD313" s="31">
        <v>0</v>
      </c>
      <c r="AE313" s="31">
        <v>0</v>
      </c>
      <c r="AF313" s="34" t="s">
        <v>274</v>
      </c>
      <c r="AG313" s="34">
        <v>2020</v>
      </c>
      <c r="AH313" s="35">
        <v>2020</v>
      </c>
      <c r="BZ313" s="71"/>
      <c r="CD313" s="20" t="e">
        <f t="shared" si="33"/>
        <v>#N/A</v>
      </c>
    </row>
    <row r="314" spans="1:82" ht="61.5" x14ac:dyDescent="0.85">
      <c r="A314" s="20">
        <v>1</v>
      </c>
      <c r="B314" s="66">
        <f>SUBTOTAL(103,$A$22:A314)</f>
        <v>279</v>
      </c>
      <c r="C314" s="24" t="s">
        <v>1229</v>
      </c>
      <c r="D314" s="31">
        <f t="shared" si="42"/>
        <v>1981043.05</v>
      </c>
      <c r="E314" s="38">
        <v>0</v>
      </c>
      <c r="F314" s="38">
        <v>0</v>
      </c>
      <c r="G314" s="31">
        <v>0</v>
      </c>
      <c r="H314" s="38">
        <v>0</v>
      </c>
      <c r="I314" s="38">
        <v>0</v>
      </c>
      <c r="J314" s="38">
        <v>0</v>
      </c>
      <c r="K314" s="33">
        <v>0</v>
      </c>
      <c r="L314" s="31">
        <v>0</v>
      </c>
      <c r="M314" s="31">
        <v>407.8</v>
      </c>
      <c r="N314" s="31">
        <v>1833539.95</v>
      </c>
      <c r="O314" s="38">
        <v>0</v>
      </c>
      <c r="P314" s="38">
        <v>0</v>
      </c>
      <c r="Q314" s="31">
        <v>0</v>
      </c>
      <c r="R314" s="31">
        <v>0</v>
      </c>
      <c r="S314" s="31">
        <v>0</v>
      </c>
      <c r="T314" s="31">
        <v>0</v>
      </c>
      <c r="U314" s="31">
        <v>0</v>
      </c>
      <c r="V314" s="31">
        <v>0</v>
      </c>
      <c r="W314" s="31">
        <v>0</v>
      </c>
      <c r="X314" s="31">
        <v>0</v>
      </c>
      <c r="Y314" s="31">
        <v>0</v>
      </c>
      <c r="Z314" s="31">
        <v>0</v>
      </c>
      <c r="AA314" s="31">
        <v>0</v>
      </c>
      <c r="AB314" s="31">
        <v>0</v>
      </c>
      <c r="AC314" s="31">
        <f>ROUND(N314*1.5%,2)</f>
        <v>27503.1</v>
      </c>
      <c r="AD314" s="31">
        <v>0</v>
      </c>
      <c r="AE314" s="31">
        <v>120000</v>
      </c>
      <c r="AF314" s="34" t="s">
        <v>274</v>
      </c>
      <c r="AG314" s="34">
        <v>2020</v>
      </c>
      <c r="AH314" s="35">
        <v>2020</v>
      </c>
      <c r="BZ314" s="71"/>
      <c r="CD314" s="20">
        <f t="shared" si="33"/>
        <v>407.8</v>
      </c>
    </row>
    <row r="315" spans="1:82" ht="61.5" x14ac:dyDescent="0.85">
      <c r="A315" s="20">
        <v>1</v>
      </c>
      <c r="B315" s="66">
        <f>SUBTOTAL(103,$A$22:A315)</f>
        <v>280</v>
      </c>
      <c r="C315" s="24" t="s">
        <v>1230</v>
      </c>
      <c r="D315" s="31">
        <f t="shared" si="42"/>
        <v>4741640.8400000008</v>
      </c>
      <c r="E315" s="38">
        <v>0</v>
      </c>
      <c r="F315" s="38">
        <v>0</v>
      </c>
      <c r="G315" s="31">
        <v>0</v>
      </c>
      <c r="H315" s="38">
        <v>0</v>
      </c>
      <c r="I315" s="38">
        <v>0</v>
      </c>
      <c r="J315" s="38">
        <v>0</v>
      </c>
      <c r="K315" s="33">
        <v>0</v>
      </c>
      <c r="L315" s="31">
        <v>0</v>
      </c>
      <c r="M315" s="31">
        <v>953.5</v>
      </c>
      <c r="N315" s="31">
        <v>4553340.7300000004</v>
      </c>
      <c r="O315" s="38">
        <v>0</v>
      </c>
      <c r="P315" s="38">
        <v>0</v>
      </c>
      <c r="Q315" s="31">
        <v>0</v>
      </c>
      <c r="R315" s="31">
        <v>0</v>
      </c>
      <c r="S315" s="31">
        <v>0</v>
      </c>
      <c r="T315" s="31">
        <v>0</v>
      </c>
      <c r="U315" s="31">
        <v>0</v>
      </c>
      <c r="V315" s="31">
        <v>0</v>
      </c>
      <c r="W315" s="31">
        <v>0</v>
      </c>
      <c r="X315" s="31">
        <v>0</v>
      </c>
      <c r="Y315" s="31">
        <v>0</v>
      </c>
      <c r="Z315" s="31">
        <v>0</v>
      </c>
      <c r="AA315" s="31">
        <v>0</v>
      </c>
      <c r="AB315" s="31">
        <v>0</v>
      </c>
      <c r="AC315" s="31">
        <f>ROUND(N315*1.5%,2)</f>
        <v>68300.11</v>
      </c>
      <c r="AD315" s="31">
        <v>0</v>
      </c>
      <c r="AE315" s="31">
        <v>120000</v>
      </c>
      <c r="AF315" s="34" t="s">
        <v>274</v>
      </c>
      <c r="AG315" s="34">
        <v>2020</v>
      </c>
      <c r="AH315" s="35">
        <v>2020</v>
      </c>
      <c r="BZ315" s="71"/>
      <c r="CD315" s="20">
        <f t="shared" si="33"/>
        <v>953.5</v>
      </c>
    </row>
    <row r="316" spans="1:82" ht="61.5" x14ac:dyDescent="0.85">
      <c r="A316" s="20">
        <v>1</v>
      </c>
      <c r="B316" s="66">
        <f>SUBTOTAL(103,$A$22:A316)</f>
        <v>281</v>
      </c>
      <c r="C316" s="24" t="s">
        <v>1235</v>
      </c>
      <c r="D316" s="31">
        <f t="shared" si="42"/>
        <v>7625051.5</v>
      </c>
      <c r="E316" s="38">
        <v>0</v>
      </c>
      <c r="F316" s="38">
        <v>0</v>
      </c>
      <c r="G316" s="31">
        <v>0</v>
      </c>
      <c r="H316" s="38">
        <v>0</v>
      </c>
      <c r="I316" s="38">
        <v>0</v>
      </c>
      <c r="J316" s="38">
        <v>0</v>
      </c>
      <c r="K316" s="33">
        <v>4</v>
      </c>
      <c r="L316" s="31">
        <v>7625051.5</v>
      </c>
      <c r="M316" s="31">
        <v>0</v>
      </c>
      <c r="N316" s="31">
        <v>0</v>
      </c>
      <c r="O316" s="38">
        <v>0</v>
      </c>
      <c r="P316" s="38">
        <v>0</v>
      </c>
      <c r="Q316" s="31">
        <v>0</v>
      </c>
      <c r="R316" s="31">
        <v>0</v>
      </c>
      <c r="S316" s="31">
        <v>0</v>
      </c>
      <c r="T316" s="31">
        <v>0</v>
      </c>
      <c r="U316" s="31">
        <v>0</v>
      </c>
      <c r="V316" s="31">
        <v>0</v>
      </c>
      <c r="W316" s="31">
        <v>0</v>
      </c>
      <c r="X316" s="31">
        <v>0</v>
      </c>
      <c r="Y316" s="31">
        <v>0</v>
      </c>
      <c r="Z316" s="31">
        <v>0</v>
      </c>
      <c r="AA316" s="31">
        <v>0</v>
      </c>
      <c r="AB316" s="31">
        <v>0</v>
      </c>
      <c r="AC316" s="31">
        <v>0</v>
      </c>
      <c r="AD316" s="31">
        <v>0</v>
      </c>
      <c r="AE316" s="31">
        <v>0</v>
      </c>
      <c r="AF316" s="34" t="s">
        <v>274</v>
      </c>
      <c r="AG316" s="34">
        <v>2020</v>
      </c>
      <c r="AH316" s="35" t="s">
        <v>274</v>
      </c>
      <c r="BZ316" s="71"/>
      <c r="CD316" s="20" t="e">
        <f t="shared" si="33"/>
        <v>#N/A</v>
      </c>
    </row>
    <row r="317" spans="1:82" ht="61.5" x14ac:dyDescent="0.85">
      <c r="A317" s="20">
        <v>1</v>
      </c>
      <c r="B317" s="66">
        <f>SUBTOTAL(103,$A$22:A317)</f>
        <v>282</v>
      </c>
      <c r="C317" s="24" t="s">
        <v>1236</v>
      </c>
      <c r="D317" s="31">
        <f t="shared" si="42"/>
        <v>964103.66999999993</v>
      </c>
      <c r="E317" s="38">
        <v>0</v>
      </c>
      <c r="F317" s="38">
        <v>0</v>
      </c>
      <c r="G317" s="31">
        <v>0</v>
      </c>
      <c r="H317" s="38">
        <v>0</v>
      </c>
      <c r="I317" s="38">
        <v>0</v>
      </c>
      <c r="J317" s="38">
        <v>0</v>
      </c>
      <c r="K317" s="33">
        <v>0</v>
      </c>
      <c r="L317" s="31">
        <v>0</v>
      </c>
      <c r="M317" s="31">
        <v>0</v>
      </c>
      <c r="N317" s="31">
        <v>0</v>
      </c>
      <c r="O317" s="38">
        <v>0</v>
      </c>
      <c r="P317" s="38">
        <v>0</v>
      </c>
      <c r="Q317" s="31">
        <v>415.14</v>
      </c>
      <c r="R317" s="31">
        <v>949855.83</v>
      </c>
      <c r="S317" s="31">
        <v>0</v>
      </c>
      <c r="T317" s="31">
        <v>0</v>
      </c>
      <c r="U317" s="31">
        <v>0</v>
      </c>
      <c r="V317" s="31">
        <v>0</v>
      </c>
      <c r="W317" s="31">
        <v>0</v>
      </c>
      <c r="X317" s="31">
        <v>0</v>
      </c>
      <c r="Y317" s="31">
        <v>0</v>
      </c>
      <c r="Z317" s="31">
        <v>0</v>
      </c>
      <c r="AA317" s="31">
        <v>0</v>
      </c>
      <c r="AB317" s="31">
        <v>0</v>
      </c>
      <c r="AC317" s="31">
        <f>ROUND(R317*1.5%,2)</f>
        <v>14247.84</v>
      </c>
      <c r="AD317" s="31">
        <v>0</v>
      </c>
      <c r="AE317" s="31">
        <v>0</v>
      </c>
      <c r="AF317" s="34" t="s">
        <v>274</v>
      </c>
      <c r="AG317" s="34">
        <v>2020</v>
      </c>
      <c r="AH317" s="35">
        <v>2020</v>
      </c>
      <c r="BZ317" s="71"/>
      <c r="CD317" s="20" t="e">
        <f t="shared" si="33"/>
        <v>#N/A</v>
      </c>
    </row>
    <row r="318" spans="1:82" ht="61.5" x14ac:dyDescent="0.85">
      <c r="A318" s="20">
        <v>1</v>
      </c>
      <c r="B318" s="66">
        <f>SUBTOTAL(103,$A$22:A318)</f>
        <v>283</v>
      </c>
      <c r="C318" s="24" t="s">
        <v>1237</v>
      </c>
      <c r="D318" s="31">
        <f t="shared" si="42"/>
        <v>1832686.35</v>
      </c>
      <c r="E318" s="38">
        <v>0</v>
      </c>
      <c r="F318" s="38">
        <v>0</v>
      </c>
      <c r="G318" s="31">
        <v>0</v>
      </c>
      <c r="H318" s="38">
        <v>0</v>
      </c>
      <c r="I318" s="38">
        <v>0</v>
      </c>
      <c r="J318" s="38">
        <v>0</v>
      </c>
      <c r="K318" s="33">
        <v>0</v>
      </c>
      <c r="L318" s="31">
        <v>0</v>
      </c>
      <c r="M318" s="31">
        <v>0</v>
      </c>
      <c r="N318" s="31">
        <v>0</v>
      </c>
      <c r="O318" s="38">
        <v>0</v>
      </c>
      <c r="P318" s="38">
        <v>0</v>
      </c>
      <c r="Q318" s="31">
        <v>390.67</v>
      </c>
      <c r="R318" s="31">
        <v>1805602.32</v>
      </c>
      <c r="S318" s="31">
        <v>0</v>
      </c>
      <c r="T318" s="31">
        <v>0</v>
      </c>
      <c r="U318" s="31">
        <v>0</v>
      </c>
      <c r="V318" s="31">
        <v>0</v>
      </c>
      <c r="W318" s="31">
        <v>0</v>
      </c>
      <c r="X318" s="31">
        <v>0</v>
      </c>
      <c r="Y318" s="31">
        <v>0</v>
      </c>
      <c r="Z318" s="31">
        <v>0</v>
      </c>
      <c r="AA318" s="31">
        <v>0</v>
      </c>
      <c r="AB318" s="31">
        <v>0</v>
      </c>
      <c r="AC318" s="31">
        <f>ROUND(R318*1.5%,2)</f>
        <v>27084.03</v>
      </c>
      <c r="AD318" s="31">
        <v>0</v>
      </c>
      <c r="AE318" s="31">
        <v>0</v>
      </c>
      <c r="AF318" s="34" t="s">
        <v>274</v>
      </c>
      <c r="AG318" s="34">
        <v>2020</v>
      </c>
      <c r="AH318" s="35">
        <v>2020</v>
      </c>
      <c r="BZ318" s="71"/>
      <c r="CD318" s="20" t="e">
        <f t="shared" si="33"/>
        <v>#N/A</v>
      </c>
    </row>
    <row r="319" spans="1:82" ht="61.5" x14ac:dyDescent="0.85">
      <c r="A319" s="20">
        <v>1</v>
      </c>
      <c r="B319" s="66">
        <f>SUBTOTAL(103,$A$22:A319)</f>
        <v>284</v>
      </c>
      <c r="C319" s="24" t="s">
        <v>1238</v>
      </c>
      <c r="D319" s="31">
        <f t="shared" si="42"/>
        <v>3647789.2499999995</v>
      </c>
      <c r="E319" s="38">
        <v>0</v>
      </c>
      <c r="F319" s="38">
        <v>0</v>
      </c>
      <c r="G319" s="31">
        <v>0</v>
      </c>
      <c r="H319" s="38">
        <v>0</v>
      </c>
      <c r="I319" s="38">
        <v>0</v>
      </c>
      <c r="J319" s="38">
        <v>0</v>
      </c>
      <c r="K319" s="33">
        <v>0</v>
      </c>
      <c r="L319" s="31">
        <v>0</v>
      </c>
      <c r="M319" s="31">
        <v>738.92</v>
      </c>
      <c r="N319" s="31">
        <v>3507338.7899999996</v>
      </c>
      <c r="O319" s="38">
        <v>0</v>
      </c>
      <c r="P319" s="38">
        <v>0</v>
      </c>
      <c r="Q319" s="31">
        <v>0</v>
      </c>
      <c r="R319" s="31">
        <v>0</v>
      </c>
      <c r="S319" s="31">
        <v>0</v>
      </c>
      <c r="T319" s="31">
        <v>0</v>
      </c>
      <c r="U319" s="31">
        <v>0</v>
      </c>
      <c r="V319" s="31">
        <v>0</v>
      </c>
      <c r="W319" s="31">
        <v>0</v>
      </c>
      <c r="X319" s="31">
        <v>0</v>
      </c>
      <c r="Y319" s="31">
        <v>0</v>
      </c>
      <c r="Z319" s="31">
        <v>0</v>
      </c>
      <c r="AA319" s="31">
        <v>0</v>
      </c>
      <c r="AB319" s="31">
        <v>0</v>
      </c>
      <c r="AC319" s="31">
        <f>ROUND(N319*1.5%,2)</f>
        <v>52610.080000000002</v>
      </c>
      <c r="AD319" s="31">
        <v>87840.38</v>
      </c>
      <c r="AE319" s="31">
        <v>0</v>
      </c>
      <c r="AF319" s="34">
        <v>2020</v>
      </c>
      <c r="AG319" s="34">
        <v>2020</v>
      </c>
      <c r="AH319" s="35">
        <v>2020</v>
      </c>
      <c r="BZ319" s="71"/>
      <c r="CD319" s="20">
        <f t="shared" si="33"/>
        <v>738.92</v>
      </c>
    </row>
    <row r="320" spans="1:82" ht="61.5" x14ac:dyDescent="0.85">
      <c r="A320" s="20">
        <v>1</v>
      </c>
      <c r="B320" s="66">
        <f>SUBTOTAL(103,$A$22:A320)</f>
        <v>285</v>
      </c>
      <c r="C320" s="24" t="s">
        <v>1590</v>
      </c>
      <c r="D320" s="31">
        <f t="shared" si="42"/>
        <v>1427279.76</v>
      </c>
      <c r="E320" s="38">
        <v>0</v>
      </c>
      <c r="F320" s="38">
        <v>0</v>
      </c>
      <c r="G320" s="31">
        <v>0</v>
      </c>
      <c r="H320" s="38">
        <v>0</v>
      </c>
      <c r="I320" s="38">
        <v>0</v>
      </c>
      <c r="J320" s="38">
        <v>0</v>
      </c>
      <c r="K320" s="33">
        <v>0</v>
      </c>
      <c r="L320" s="31">
        <v>0</v>
      </c>
      <c r="M320" s="31">
        <v>275.39999999999998</v>
      </c>
      <c r="N320" s="31">
        <v>1287960.3500000001</v>
      </c>
      <c r="O320" s="38">
        <v>0</v>
      </c>
      <c r="P320" s="38">
        <v>0</v>
      </c>
      <c r="Q320" s="31">
        <v>0</v>
      </c>
      <c r="R320" s="31">
        <v>0</v>
      </c>
      <c r="S320" s="31">
        <v>0</v>
      </c>
      <c r="T320" s="31">
        <v>0</v>
      </c>
      <c r="U320" s="31">
        <v>0</v>
      </c>
      <c r="V320" s="31">
        <v>0</v>
      </c>
      <c r="W320" s="31">
        <v>0</v>
      </c>
      <c r="X320" s="31">
        <v>0</v>
      </c>
      <c r="Y320" s="31">
        <v>0</v>
      </c>
      <c r="Z320" s="31">
        <v>0</v>
      </c>
      <c r="AA320" s="31">
        <v>0</v>
      </c>
      <c r="AB320" s="31">
        <v>0</v>
      </c>
      <c r="AC320" s="31">
        <f>ROUND(N320*1.5%,2)</f>
        <v>19319.41</v>
      </c>
      <c r="AD320" s="31">
        <v>0</v>
      </c>
      <c r="AE320" s="31">
        <v>120000</v>
      </c>
      <c r="AF320" s="34" t="s">
        <v>274</v>
      </c>
      <c r="AG320" s="34">
        <v>2020</v>
      </c>
      <c r="AH320" s="35">
        <v>2020</v>
      </c>
      <c r="BZ320" s="71"/>
      <c r="CD320" s="20">
        <f t="shared" si="33"/>
        <v>275.39999999999998</v>
      </c>
    </row>
    <row r="321" spans="1:82" ht="61.5" x14ac:dyDescent="0.85">
      <c r="A321" s="20">
        <v>1</v>
      </c>
      <c r="B321" s="66">
        <f>SUBTOTAL(103,$A$22:A321)</f>
        <v>286</v>
      </c>
      <c r="C321" s="24" t="s">
        <v>1600</v>
      </c>
      <c r="D321" s="31">
        <f t="shared" si="42"/>
        <v>1793843.86</v>
      </c>
      <c r="E321" s="38">
        <v>0</v>
      </c>
      <c r="F321" s="38">
        <v>0</v>
      </c>
      <c r="G321" s="31">
        <v>0</v>
      </c>
      <c r="H321" s="38">
        <v>0</v>
      </c>
      <c r="I321" s="38">
        <v>0</v>
      </c>
      <c r="J321" s="38">
        <v>0</v>
      </c>
      <c r="K321" s="33">
        <v>0</v>
      </c>
      <c r="L321" s="31">
        <v>0</v>
      </c>
      <c r="M321" s="31">
        <v>344.5</v>
      </c>
      <c r="N321" s="31">
        <f>1530880.65+118226.6</f>
        <v>1649107.25</v>
      </c>
      <c r="O321" s="38">
        <v>0</v>
      </c>
      <c r="P321" s="38">
        <v>0</v>
      </c>
      <c r="Q321" s="31">
        <v>0</v>
      </c>
      <c r="R321" s="31">
        <v>0</v>
      </c>
      <c r="S321" s="31">
        <v>0</v>
      </c>
      <c r="T321" s="31">
        <v>0</v>
      </c>
      <c r="U321" s="31">
        <v>0</v>
      </c>
      <c r="V321" s="31">
        <v>0</v>
      </c>
      <c r="W321" s="31">
        <v>0</v>
      </c>
      <c r="X321" s="31">
        <v>0</v>
      </c>
      <c r="Y321" s="31">
        <v>0</v>
      </c>
      <c r="Z321" s="31">
        <v>0</v>
      </c>
      <c r="AA321" s="31">
        <v>0</v>
      </c>
      <c r="AB321" s="31">
        <v>0</v>
      </c>
      <c r="AC321" s="31">
        <f>ROUND(N321*1.5%,2)</f>
        <v>24736.61</v>
      </c>
      <c r="AD321" s="31">
        <v>0</v>
      </c>
      <c r="AE321" s="31">
        <v>120000</v>
      </c>
      <c r="AF321" s="34" t="s">
        <v>274</v>
      </c>
      <c r="AG321" s="34">
        <v>2020</v>
      </c>
      <c r="AH321" s="35">
        <v>2020</v>
      </c>
      <c r="BZ321" s="71"/>
      <c r="CD321" s="20">
        <f t="shared" si="33"/>
        <v>344.5</v>
      </c>
    </row>
    <row r="322" spans="1:82" ht="61.5" x14ac:dyDescent="0.85">
      <c r="B322" s="24" t="s">
        <v>849</v>
      </c>
      <c r="C322" s="166"/>
      <c r="D322" s="31">
        <f>SUM(D323:D339)</f>
        <v>36604324.610000007</v>
      </c>
      <c r="E322" s="31">
        <f t="shared" ref="E322:AE322" si="43">SUM(E323:E339)</f>
        <v>315048.13</v>
      </c>
      <c r="F322" s="31">
        <f t="shared" si="43"/>
        <v>0</v>
      </c>
      <c r="G322" s="31">
        <f t="shared" si="43"/>
        <v>0</v>
      </c>
      <c r="H322" s="31">
        <f t="shared" si="43"/>
        <v>550227.06000000006</v>
      </c>
      <c r="I322" s="31">
        <f t="shared" si="43"/>
        <v>2416780.3199999998</v>
      </c>
      <c r="J322" s="31">
        <f t="shared" si="43"/>
        <v>0</v>
      </c>
      <c r="K322" s="33">
        <f t="shared" si="43"/>
        <v>0</v>
      </c>
      <c r="L322" s="31">
        <f t="shared" si="43"/>
        <v>0</v>
      </c>
      <c r="M322" s="31">
        <f t="shared" si="43"/>
        <v>4315.05</v>
      </c>
      <c r="N322" s="31">
        <f t="shared" si="43"/>
        <v>18788570.420000002</v>
      </c>
      <c r="O322" s="31">
        <f t="shared" si="43"/>
        <v>0</v>
      </c>
      <c r="P322" s="31">
        <f t="shared" si="43"/>
        <v>0</v>
      </c>
      <c r="Q322" s="31">
        <f t="shared" si="43"/>
        <v>3069.6800000000003</v>
      </c>
      <c r="R322" s="31">
        <f t="shared" si="43"/>
        <v>11574307.649999999</v>
      </c>
      <c r="S322" s="31">
        <f t="shared" si="43"/>
        <v>84.3</v>
      </c>
      <c r="T322" s="31">
        <f t="shared" si="43"/>
        <v>1784615.64</v>
      </c>
      <c r="U322" s="31">
        <f t="shared" si="43"/>
        <v>0</v>
      </c>
      <c r="V322" s="31">
        <f t="shared" si="43"/>
        <v>0</v>
      </c>
      <c r="W322" s="31">
        <f t="shared" si="43"/>
        <v>0</v>
      </c>
      <c r="X322" s="31">
        <f t="shared" si="43"/>
        <v>0</v>
      </c>
      <c r="Y322" s="31">
        <f t="shared" si="43"/>
        <v>0</v>
      </c>
      <c r="Z322" s="31">
        <f t="shared" si="43"/>
        <v>0</v>
      </c>
      <c r="AA322" s="31">
        <f t="shared" si="43"/>
        <v>0</v>
      </c>
      <c r="AB322" s="31">
        <f t="shared" si="43"/>
        <v>0</v>
      </c>
      <c r="AC322" s="31">
        <f t="shared" si="43"/>
        <v>531443.21999999986</v>
      </c>
      <c r="AD322" s="31">
        <f t="shared" si="43"/>
        <v>523332.17</v>
      </c>
      <c r="AE322" s="31">
        <f t="shared" si="43"/>
        <v>120000</v>
      </c>
      <c r="AF322" s="72" t="s">
        <v>776</v>
      </c>
      <c r="AG322" s="72" t="s">
        <v>776</v>
      </c>
      <c r="AH322" s="89" t="s">
        <v>776</v>
      </c>
      <c r="AT322" s="20" t="e">
        <f t="shared" ref="AT322:AT328" si="44">VLOOKUP(C322,AW:AX,2,FALSE)</f>
        <v>#N/A</v>
      </c>
      <c r="BZ322" s="71">
        <v>38859598.050000004</v>
      </c>
      <c r="CB322" s="71">
        <f>BZ322-D322</f>
        <v>2255273.4399999976</v>
      </c>
      <c r="CD322" s="20" t="e">
        <f t="shared" si="33"/>
        <v>#N/A</v>
      </c>
    </row>
    <row r="323" spans="1:82" ht="61.5" x14ac:dyDescent="0.85">
      <c r="A323" s="20">
        <v>1</v>
      </c>
      <c r="B323" s="66">
        <f>SUBTOTAL(103,$A$22:A323)</f>
        <v>287</v>
      </c>
      <c r="C323" s="24" t="s">
        <v>236</v>
      </c>
      <c r="D323" s="31">
        <f t="shared" ref="D323:D339" si="45">E323+F323+G323+H323+I323+J323+L323+N323+P323+R323+T323+U323+V323+W323+X323+Y323+Z323+AA323+AB323+AC323+AD323+AE323</f>
        <v>1572162.5600000001</v>
      </c>
      <c r="E323" s="31">
        <v>0</v>
      </c>
      <c r="F323" s="31">
        <v>0</v>
      </c>
      <c r="G323" s="31">
        <v>0</v>
      </c>
      <c r="H323" s="31">
        <v>0</v>
      </c>
      <c r="I323" s="31">
        <v>0</v>
      </c>
      <c r="J323" s="31">
        <v>0</v>
      </c>
      <c r="K323" s="33">
        <v>0</v>
      </c>
      <c r="L323" s="31">
        <v>0</v>
      </c>
      <c r="M323" s="31">
        <v>318.7</v>
      </c>
      <c r="N323" s="31">
        <v>1483123.15</v>
      </c>
      <c r="O323" s="31">
        <v>0</v>
      </c>
      <c r="P323" s="31">
        <v>0</v>
      </c>
      <c r="Q323" s="31">
        <v>0</v>
      </c>
      <c r="R323" s="31">
        <v>0</v>
      </c>
      <c r="S323" s="31">
        <v>0</v>
      </c>
      <c r="T323" s="31">
        <v>0</v>
      </c>
      <c r="U323" s="31">
        <v>0</v>
      </c>
      <c r="V323" s="31">
        <v>0</v>
      </c>
      <c r="W323" s="31">
        <v>0</v>
      </c>
      <c r="X323" s="31">
        <v>0</v>
      </c>
      <c r="Y323" s="31">
        <v>0</v>
      </c>
      <c r="Z323" s="31">
        <v>0</v>
      </c>
      <c r="AA323" s="31">
        <v>0</v>
      </c>
      <c r="AB323" s="31">
        <v>0</v>
      </c>
      <c r="AC323" s="31">
        <f>ROUND(N323*1.5%,2)</f>
        <v>22246.85</v>
      </c>
      <c r="AD323" s="31">
        <v>66792.56</v>
      </c>
      <c r="AE323" s="31">
        <v>0</v>
      </c>
      <c r="AF323" s="34">
        <v>2020</v>
      </c>
      <c r="AG323" s="34">
        <v>2020</v>
      </c>
      <c r="AH323" s="35">
        <v>2020</v>
      </c>
      <c r="AT323" s="20" t="e">
        <f t="shared" si="44"/>
        <v>#N/A</v>
      </c>
      <c r="BZ323" s="71"/>
      <c r="CD323" s="20" t="e">
        <f t="shared" si="33"/>
        <v>#N/A</v>
      </c>
    </row>
    <row r="324" spans="1:82" ht="61.5" x14ac:dyDescent="0.85">
      <c r="A324" s="20">
        <v>1</v>
      </c>
      <c r="B324" s="66">
        <f>SUBTOTAL(103,$A$22:A324)</f>
        <v>288</v>
      </c>
      <c r="C324" s="24" t="s">
        <v>238</v>
      </c>
      <c r="D324" s="31">
        <f t="shared" si="45"/>
        <v>2581000</v>
      </c>
      <c r="E324" s="31">
        <v>0</v>
      </c>
      <c r="F324" s="31">
        <v>0</v>
      </c>
      <c r="G324" s="31">
        <v>0</v>
      </c>
      <c r="H324" s="31">
        <v>0</v>
      </c>
      <c r="I324" s="31">
        <v>0</v>
      </c>
      <c r="J324" s="31">
        <v>0</v>
      </c>
      <c r="K324" s="33">
        <v>0</v>
      </c>
      <c r="L324" s="31">
        <v>0</v>
      </c>
      <c r="M324" s="31">
        <v>0</v>
      </c>
      <c r="N324" s="31">
        <v>0</v>
      </c>
      <c r="O324" s="31">
        <v>0</v>
      </c>
      <c r="P324" s="31">
        <v>0</v>
      </c>
      <c r="Q324" s="31">
        <v>449.8</v>
      </c>
      <c r="R324" s="31">
        <f>1694742.15+749592.83</f>
        <v>2444334.98</v>
      </c>
      <c r="S324" s="31">
        <v>0</v>
      </c>
      <c r="T324" s="31">
        <v>0</v>
      </c>
      <c r="U324" s="31">
        <v>0</v>
      </c>
      <c r="V324" s="31">
        <v>0</v>
      </c>
      <c r="W324" s="31">
        <v>0</v>
      </c>
      <c r="X324" s="31">
        <v>0</v>
      </c>
      <c r="Y324" s="31">
        <v>0</v>
      </c>
      <c r="Z324" s="31">
        <v>0</v>
      </c>
      <c r="AA324" s="31">
        <v>0</v>
      </c>
      <c r="AB324" s="31">
        <v>0</v>
      </c>
      <c r="AC324" s="31">
        <f>ROUND(R324*1.5%,2)</f>
        <v>36665.019999999997</v>
      </c>
      <c r="AD324" s="31">
        <v>100000</v>
      </c>
      <c r="AE324" s="31">
        <v>0</v>
      </c>
      <c r="AF324" s="34">
        <v>2020</v>
      </c>
      <c r="AG324" s="34">
        <v>2020</v>
      </c>
      <c r="AH324" s="35">
        <v>2020</v>
      </c>
      <c r="AT324" s="20" t="e">
        <f t="shared" si="44"/>
        <v>#N/A</v>
      </c>
      <c r="BZ324" s="71"/>
      <c r="CD324" s="20" t="e">
        <f t="shared" si="33"/>
        <v>#N/A</v>
      </c>
    </row>
    <row r="325" spans="1:82" ht="61.5" x14ac:dyDescent="0.85">
      <c r="A325" s="20">
        <v>1</v>
      </c>
      <c r="B325" s="66">
        <f>SUBTOTAL(103,$A$22:A325)</f>
        <v>289</v>
      </c>
      <c r="C325" s="24" t="s">
        <v>241</v>
      </c>
      <c r="D325" s="31">
        <f t="shared" si="45"/>
        <v>2325723.11</v>
      </c>
      <c r="E325" s="31">
        <v>0</v>
      </c>
      <c r="F325" s="31">
        <v>0</v>
      </c>
      <c r="G325" s="31">
        <v>0</v>
      </c>
      <c r="H325" s="31">
        <v>0</v>
      </c>
      <c r="I325" s="31">
        <v>0</v>
      </c>
      <c r="J325" s="31">
        <v>0</v>
      </c>
      <c r="K325" s="33">
        <v>0</v>
      </c>
      <c r="L325" s="31">
        <v>0</v>
      </c>
      <c r="M325" s="31">
        <v>464.3</v>
      </c>
      <c r="N325" s="31">
        <v>2214709.36</v>
      </c>
      <c r="O325" s="31">
        <v>0</v>
      </c>
      <c r="P325" s="31">
        <v>0</v>
      </c>
      <c r="Q325" s="31">
        <v>0</v>
      </c>
      <c r="R325" s="31">
        <v>0</v>
      </c>
      <c r="S325" s="31">
        <v>0</v>
      </c>
      <c r="T325" s="31">
        <v>0</v>
      </c>
      <c r="U325" s="31">
        <v>0</v>
      </c>
      <c r="V325" s="31">
        <v>0</v>
      </c>
      <c r="W325" s="31">
        <v>0</v>
      </c>
      <c r="X325" s="31">
        <v>0</v>
      </c>
      <c r="Y325" s="31">
        <v>0</v>
      </c>
      <c r="Z325" s="31">
        <v>0</v>
      </c>
      <c r="AA325" s="31">
        <v>0</v>
      </c>
      <c r="AB325" s="31">
        <v>0</v>
      </c>
      <c r="AC325" s="31">
        <f>ROUND(N325*1.5%,2)</f>
        <v>33220.639999999999</v>
      </c>
      <c r="AD325" s="31">
        <v>77793.11</v>
      </c>
      <c r="AE325" s="31">
        <v>0</v>
      </c>
      <c r="AF325" s="34">
        <v>2020</v>
      </c>
      <c r="AG325" s="34">
        <v>2020</v>
      </c>
      <c r="AH325" s="35">
        <v>2020</v>
      </c>
      <c r="AT325" s="20" t="e">
        <f t="shared" si="44"/>
        <v>#N/A</v>
      </c>
      <c r="BZ325" s="71"/>
      <c r="CD325" s="20" t="e">
        <f t="shared" si="33"/>
        <v>#N/A</v>
      </c>
    </row>
    <row r="326" spans="1:82" ht="61.5" x14ac:dyDescent="0.85">
      <c r="A326" s="20">
        <v>1</v>
      </c>
      <c r="B326" s="66">
        <f>SUBTOTAL(103,$A$22:A326)</f>
        <v>290</v>
      </c>
      <c r="C326" s="24" t="s">
        <v>242</v>
      </c>
      <c r="D326" s="31">
        <f t="shared" si="45"/>
        <v>1327100</v>
      </c>
      <c r="E326" s="31">
        <v>0</v>
      </c>
      <c r="F326" s="31">
        <v>0</v>
      </c>
      <c r="G326" s="31">
        <v>0</v>
      </c>
      <c r="H326" s="31">
        <v>0</v>
      </c>
      <c r="I326" s="31">
        <v>0</v>
      </c>
      <c r="J326" s="31">
        <v>0</v>
      </c>
      <c r="K326" s="33">
        <v>0</v>
      </c>
      <c r="L326" s="31">
        <v>0</v>
      </c>
      <c r="M326" s="31">
        <v>271</v>
      </c>
      <c r="N326" s="31">
        <v>1243448.28</v>
      </c>
      <c r="O326" s="31">
        <v>0</v>
      </c>
      <c r="P326" s="31">
        <v>0</v>
      </c>
      <c r="Q326" s="31">
        <v>0</v>
      </c>
      <c r="R326" s="31">
        <v>0</v>
      </c>
      <c r="S326" s="31">
        <v>0</v>
      </c>
      <c r="T326" s="31">
        <v>0</v>
      </c>
      <c r="U326" s="31">
        <v>0</v>
      </c>
      <c r="V326" s="31">
        <v>0</v>
      </c>
      <c r="W326" s="31">
        <v>0</v>
      </c>
      <c r="X326" s="31">
        <v>0</v>
      </c>
      <c r="Y326" s="31">
        <v>0</v>
      </c>
      <c r="Z326" s="31">
        <v>0</v>
      </c>
      <c r="AA326" s="31">
        <v>0</v>
      </c>
      <c r="AB326" s="31">
        <v>0</v>
      </c>
      <c r="AC326" s="31">
        <f>ROUND(N326*1.5%,2)</f>
        <v>18651.72</v>
      </c>
      <c r="AD326" s="31">
        <v>65000</v>
      </c>
      <c r="AE326" s="31">
        <v>0</v>
      </c>
      <c r="AF326" s="34">
        <v>2020</v>
      </c>
      <c r="AG326" s="34">
        <v>2020</v>
      </c>
      <c r="AH326" s="35">
        <v>2020</v>
      </c>
      <c r="AT326" s="20" t="e">
        <f t="shared" si="44"/>
        <v>#N/A</v>
      </c>
      <c r="BZ326" s="71"/>
      <c r="CD326" s="20" t="e">
        <f t="shared" si="33"/>
        <v>#N/A</v>
      </c>
    </row>
    <row r="327" spans="1:82" ht="61.5" x14ac:dyDescent="0.85">
      <c r="A327" s="20">
        <v>1</v>
      </c>
      <c r="B327" s="66">
        <f>SUBTOTAL(103,$A$22:A327)</f>
        <v>291</v>
      </c>
      <c r="C327" s="24" t="s">
        <v>237</v>
      </c>
      <c r="D327" s="31">
        <f t="shared" si="45"/>
        <v>1010564.5</v>
      </c>
      <c r="E327" s="31">
        <v>0</v>
      </c>
      <c r="F327" s="31">
        <v>0</v>
      </c>
      <c r="G327" s="31">
        <v>0</v>
      </c>
      <c r="H327" s="31">
        <v>0</v>
      </c>
      <c r="I327" s="31">
        <v>0</v>
      </c>
      <c r="J327" s="31">
        <v>0</v>
      </c>
      <c r="K327" s="33">
        <v>0</v>
      </c>
      <c r="L327" s="31">
        <v>0</v>
      </c>
      <c r="M327" s="31">
        <v>209.18</v>
      </c>
      <c r="N327" s="31">
        <v>932825.62</v>
      </c>
      <c r="O327" s="31">
        <v>0</v>
      </c>
      <c r="P327" s="31">
        <v>0</v>
      </c>
      <c r="Q327" s="31">
        <v>0</v>
      </c>
      <c r="R327" s="31">
        <v>0</v>
      </c>
      <c r="S327" s="31">
        <v>0</v>
      </c>
      <c r="T327" s="31">
        <v>0</v>
      </c>
      <c r="U327" s="31">
        <v>0</v>
      </c>
      <c r="V327" s="31">
        <v>0</v>
      </c>
      <c r="W327" s="31">
        <v>0</v>
      </c>
      <c r="X327" s="31">
        <v>0</v>
      </c>
      <c r="Y327" s="31">
        <v>0</v>
      </c>
      <c r="Z327" s="31">
        <v>0</v>
      </c>
      <c r="AA327" s="31">
        <v>0</v>
      </c>
      <c r="AB327" s="31">
        <v>0</v>
      </c>
      <c r="AC327" s="31">
        <f>ROUND(N327*1.5%,2)</f>
        <v>13992.38</v>
      </c>
      <c r="AD327" s="31">
        <v>63746.5</v>
      </c>
      <c r="AE327" s="31">
        <v>0</v>
      </c>
      <c r="AF327" s="34">
        <v>2020</v>
      </c>
      <c r="AG327" s="34">
        <v>2020</v>
      </c>
      <c r="AH327" s="35">
        <v>2020</v>
      </c>
      <c r="AT327" s="20" t="e">
        <f t="shared" si="44"/>
        <v>#N/A</v>
      </c>
      <c r="BZ327" s="71"/>
      <c r="CD327" s="20" t="e">
        <f t="shared" si="33"/>
        <v>#N/A</v>
      </c>
    </row>
    <row r="328" spans="1:82" ht="61.5" x14ac:dyDescent="0.85">
      <c r="A328" s="20">
        <v>1</v>
      </c>
      <c r="B328" s="66">
        <f>SUBTOTAL(103,$A$22:A328)</f>
        <v>292</v>
      </c>
      <c r="C328" s="24" t="s">
        <v>244</v>
      </c>
      <c r="D328" s="31">
        <f t="shared" si="45"/>
        <v>2700940</v>
      </c>
      <c r="E328" s="31">
        <v>0</v>
      </c>
      <c r="F328" s="31">
        <v>0</v>
      </c>
      <c r="G328" s="31">
        <v>0</v>
      </c>
      <c r="H328" s="31">
        <v>0</v>
      </c>
      <c r="I328" s="31">
        <v>0</v>
      </c>
      <c r="J328" s="31">
        <v>0</v>
      </c>
      <c r="K328" s="33">
        <v>0</v>
      </c>
      <c r="L328" s="31">
        <v>0</v>
      </c>
      <c r="M328" s="31">
        <v>539.4</v>
      </c>
      <c r="N328" s="31">
        <v>2562502.46</v>
      </c>
      <c r="O328" s="31">
        <v>0</v>
      </c>
      <c r="P328" s="31">
        <v>0</v>
      </c>
      <c r="Q328" s="31">
        <v>0</v>
      </c>
      <c r="R328" s="31">
        <v>0</v>
      </c>
      <c r="S328" s="31">
        <v>0</v>
      </c>
      <c r="T328" s="31">
        <v>0</v>
      </c>
      <c r="U328" s="31">
        <v>0</v>
      </c>
      <c r="V328" s="31">
        <v>0</v>
      </c>
      <c r="W328" s="31">
        <v>0</v>
      </c>
      <c r="X328" s="31">
        <v>0</v>
      </c>
      <c r="Y328" s="31">
        <v>0</v>
      </c>
      <c r="Z328" s="31">
        <v>0</v>
      </c>
      <c r="AA328" s="31">
        <v>0</v>
      </c>
      <c r="AB328" s="31">
        <v>0</v>
      </c>
      <c r="AC328" s="31">
        <f>ROUND(N328*1.5%,2)</f>
        <v>38437.54</v>
      </c>
      <c r="AD328" s="31">
        <v>100000</v>
      </c>
      <c r="AE328" s="31">
        <v>0</v>
      </c>
      <c r="AF328" s="34">
        <v>2020</v>
      </c>
      <c r="AG328" s="34">
        <v>2020</v>
      </c>
      <c r="AH328" s="35">
        <v>2020</v>
      </c>
      <c r="AT328" s="20" t="e">
        <f t="shared" si="44"/>
        <v>#N/A</v>
      </c>
      <c r="BZ328" s="71"/>
      <c r="CD328" s="20" t="e">
        <f t="shared" si="33"/>
        <v>#N/A</v>
      </c>
    </row>
    <row r="329" spans="1:82" ht="61.5" x14ac:dyDescent="0.85">
      <c r="A329" s="20">
        <v>1</v>
      </c>
      <c r="B329" s="66">
        <f>SUBTOTAL(103,$A$22:A329)</f>
        <v>293</v>
      </c>
      <c r="C329" s="24" t="s">
        <v>1241</v>
      </c>
      <c r="D329" s="31">
        <f t="shared" si="45"/>
        <v>2857556.7199999997</v>
      </c>
      <c r="E329" s="38">
        <v>0</v>
      </c>
      <c r="F329" s="38">
        <v>0</v>
      </c>
      <c r="G329" s="31">
        <v>0</v>
      </c>
      <c r="H329" s="38">
        <v>0</v>
      </c>
      <c r="I329" s="38">
        <v>0</v>
      </c>
      <c r="J329" s="38">
        <v>0</v>
      </c>
      <c r="K329" s="33">
        <v>0</v>
      </c>
      <c r="L329" s="31">
        <v>0</v>
      </c>
      <c r="M329" s="31">
        <v>0</v>
      </c>
      <c r="N329" s="31">
        <v>0</v>
      </c>
      <c r="O329" s="38">
        <v>0</v>
      </c>
      <c r="P329" s="38">
        <v>0</v>
      </c>
      <c r="Q329" s="31">
        <v>677.5</v>
      </c>
      <c r="R329" s="31">
        <v>2815326.82</v>
      </c>
      <c r="S329" s="31">
        <v>0</v>
      </c>
      <c r="T329" s="31">
        <v>0</v>
      </c>
      <c r="U329" s="31">
        <v>0</v>
      </c>
      <c r="V329" s="31">
        <v>0</v>
      </c>
      <c r="W329" s="31">
        <v>0</v>
      </c>
      <c r="X329" s="31">
        <v>0</v>
      </c>
      <c r="Y329" s="31">
        <v>0</v>
      </c>
      <c r="Z329" s="31">
        <v>0</v>
      </c>
      <c r="AA329" s="31">
        <v>0</v>
      </c>
      <c r="AB329" s="31">
        <v>0</v>
      </c>
      <c r="AC329" s="31">
        <f>ROUND(R329*1.5%,2)</f>
        <v>42229.9</v>
      </c>
      <c r="AD329" s="31">
        <v>0</v>
      </c>
      <c r="AE329" s="31">
        <v>0</v>
      </c>
      <c r="AF329" s="34" t="s">
        <v>274</v>
      </c>
      <c r="AG329" s="34">
        <v>2020</v>
      </c>
      <c r="AH329" s="35">
        <v>2020</v>
      </c>
      <c r="BZ329" s="71"/>
      <c r="CD329" s="20" t="e">
        <f t="shared" si="33"/>
        <v>#N/A</v>
      </c>
    </row>
    <row r="330" spans="1:82" ht="61.5" x14ac:dyDescent="0.85">
      <c r="A330" s="20">
        <v>1</v>
      </c>
      <c r="B330" s="66">
        <f>SUBTOTAL(103,$A$22:A330)</f>
        <v>294</v>
      </c>
      <c r="C330" s="24" t="s">
        <v>1242</v>
      </c>
      <c r="D330" s="31">
        <f t="shared" si="45"/>
        <v>3331286.34</v>
      </c>
      <c r="E330" s="38">
        <v>315048.13</v>
      </c>
      <c r="F330" s="38">
        <v>0</v>
      </c>
      <c r="G330" s="31">
        <v>0</v>
      </c>
      <c r="H330" s="38">
        <v>550227.06000000006</v>
      </c>
      <c r="I330" s="38">
        <v>2416780.3199999998</v>
      </c>
      <c r="J330" s="38">
        <v>0</v>
      </c>
      <c r="K330" s="33">
        <v>0</v>
      </c>
      <c r="L330" s="31">
        <v>0</v>
      </c>
      <c r="M330" s="31">
        <v>0</v>
      </c>
      <c r="N330" s="31">
        <v>0</v>
      </c>
      <c r="O330" s="38">
        <v>0</v>
      </c>
      <c r="P330" s="38">
        <v>0</v>
      </c>
      <c r="Q330" s="31">
        <v>0</v>
      </c>
      <c r="R330" s="31">
        <v>0</v>
      </c>
      <c r="S330" s="31">
        <v>0</v>
      </c>
      <c r="T330" s="31">
        <v>0</v>
      </c>
      <c r="U330" s="31">
        <v>0</v>
      </c>
      <c r="V330" s="31">
        <v>0</v>
      </c>
      <c r="W330" s="31">
        <v>0</v>
      </c>
      <c r="X330" s="31">
        <v>0</v>
      </c>
      <c r="Y330" s="31">
        <v>0</v>
      </c>
      <c r="Z330" s="31">
        <v>0</v>
      </c>
      <c r="AA330" s="31">
        <v>0</v>
      </c>
      <c r="AB330" s="31">
        <v>0</v>
      </c>
      <c r="AC330" s="31">
        <f>ROUND((E330+F330+G330+H330+I330+J330)*1.5%,2)</f>
        <v>49230.83</v>
      </c>
      <c r="AD330" s="31">
        <v>0</v>
      </c>
      <c r="AE330" s="31">
        <v>0</v>
      </c>
      <c r="AF330" s="34" t="s">
        <v>274</v>
      </c>
      <c r="AG330" s="34">
        <v>2020</v>
      </c>
      <c r="AH330" s="35">
        <v>2020</v>
      </c>
      <c r="BZ330" s="71"/>
      <c r="CD330" s="20" t="e">
        <f t="shared" si="33"/>
        <v>#N/A</v>
      </c>
    </row>
    <row r="331" spans="1:82" ht="61.5" x14ac:dyDescent="0.85">
      <c r="A331" s="20">
        <v>1</v>
      </c>
      <c r="B331" s="66">
        <f>SUBTOTAL(103,$A$22:A331)</f>
        <v>295</v>
      </c>
      <c r="C331" s="24" t="s">
        <v>1243</v>
      </c>
      <c r="D331" s="31">
        <f t="shared" si="45"/>
        <v>3210077.19</v>
      </c>
      <c r="E331" s="38">
        <v>0</v>
      </c>
      <c r="F331" s="38">
        <v>0</v>
      </c>
      <c r="G331" s="31">
        <v>0</v>
      </c>
      <c r="H331" s="38">
        <v>0</v>
      </c>
      <c r="I331" s="38">
        <v>0</v>
      </c>
      <c r="J331" s="38">
        <v>0</v>
      </c>
      <c r="K331" s="33">
        <v>0</v>
      </c>
      <c r="L331" s="31">
        <v>0</v>
      </c>
      <c r="M331" s="31">
        <v>0</v>
      </c>
      <c r="N331" s="31">
        <v>0</v>
      </c>
      <c r="O331" s="38">
        <v>0</v>
      </c>
      <c r="P331" s="38">
        <v>0</v>
      </c>
      <c r="Q331" s="31">
        <v>766.41</v>
      </c>
      <c r="R331" s="31">
        <v>3162637.63</v>
      </c>
      <c r="S331" s="31">
        <v>0</v>
      </c>
      <c r="T331" s="31">
        <v>0</v>
      </c>
      <c r="U331" s="31">
        <v>0</v>
      </c>
      <c r="V331" s="31">
        <v>0</v>
      </c>
      <c r="W331" s="31">
        <v>0</v>
      </c>
      <c r="X331" s="31">
        <v>0</v>
      </c>
      <c r="Y331" s="31">
        <v>0</v>
      </c>
      <c r="Z331" s="31">
        <v>0</v>
      </c>
      <c r="AA331" s="31">
        <v>0</v>
      </c>
      <c r="AB331" s="31">
        <v>0</v>
      </c>
      <c r="AC331" s="31">
        <f>ROUND(R331*1.5%,2)</f>
        <v>47439.56</v>
      </c>
      <c r="AD331" s="31">
        <v>0</v>
      </c>
      <c r="AE331" s="31">
        <v>0</v>
      </c>
      <c r="AF331" s="34" t="s">
        <v>274</v>
      </c>
      <c r="AG331" s="34">
        <v>2020</v>
      </c>
      <c r="AH331" s="35">
        <v>2020</v>
      </c>
      <c r="BZ331" s="71"/>
      <c r="CD331" s="20" t="e">
        <f t="shared" si="33"/>
        <v>#N/A</v>
      </c>
    </row>
    <row r="332" spans="1:82" ht="61.5" x14ac:dyDescent="0.85">
      <c r="A332" s="20">
        <v>1</v>
      </c>
      <c r="B332" s="66">
        <f>SUBTOTAL(103,$A$22:A332)</f>
        <v>296</v>
      </c>
      <c r="C332" s="24" t="s">
        <v>1244</v>
      </c>
      <c r="D332" s="31">
        <f t="shared" si="45"/>
        <v>1783515.1400000001</v>
      </c>
      <c r="E332" s="38">
        <v>0</v>
      </c>
      <c r="F332" s="38">
        <v>0</v>
      </c>
      <c r="G332" s="31">
        <v>0</v>
      </c>
      <c r="H332" s="38">
        <v>0</v>
      </c>
      <c r="I332" s="38">
        <v>0</v>
      </c>
      <c r="J332" s="38">
        <v>0</v>
      </c>
      <c r="K332" s="33">
        <v>0</v>
      </c>
      <c r="L332" s="31">
        <v>0</v>
      </c>
      <c r="M332" s="31">
        <v>0</v>
      </c>
      <c r="N332" s="31">
        <v>0</v>
      </c>
      <c r="O332" s="38">
        <v>0</v>
      </c>
      <c r="P332" s="38">
        <v>0</v>
      </c>
      <c r="Q332" s="31">
        <v>798.07</v>
      </c>
      <c r="R332" s="31">
        <v>1757157.77</v>
      </c>
      <c r="S332" s="31">
        <v>0</v>
      </c>
      <c r="T332" s="31">
        <v>0</v>
      </c>
      <c r="U332" s="31">
        <v>0</v>
      </c>
      <c r="V332" s="31">
        <v>0</v>
      </c>
      <c r="W332" s="31">
        <v>0</v>
      </c>
      <c r="X332" s="31">
        <v>0</v>
      </c>
      <c r="Y332" s="31">
        <v>0</v>
      </c>
      <c r="Z332" s="31">
        <v>0</v>
      </c>
      <c r="AA332" s="31">
        <v>0</v>
      </c>
      <c r="AB332" s="31">
        <v>0</v>
      </c>
      <c r="AC332" s="31">
        <f>ROUND(R332*1.5%,2)</f>
        <v>26357.37</v>
      </c>
      <c r="AD332" s="31">
        <v>0</v>
      </c>
      <c r="AE332" s="31">
        <v>0</v>
      </c>
      <c r="AF332" s="34" t="s">
        <v>274</v>
      </c>
      <c r="AG332" s="34">
        <v>2020</v>
      </c>
      <c r="AH332" s="35">
        <v>2020</v>
      </c>
      <c r="BZ332" s="71"/>
      <c r="CD332" s="20" t="e">
        <f t="shared" si="33"/>
        <v>#N/A</v>
      </c>
    </row>
    <row r="333" spans="1:82" ht="61.5" x14ac:dyDescent="0.85">
      <c r="A333" s="20">
        <v>1</v>
      </c>
      <c r="B333" s="66">
        <f>SUBTOTAL(103,$A$22:A333)</f>
        <v>297</v>
      </c>
      <c r="C333" s="24" t="s">
        <v>1245</v>
      </c>
      <c r="D333" s="31">
        <f t="shared" si="45"/>
        <v>1811384.8699999999</v>
      </c>
      <c r="E333" s="38">
        <v>0</v>
      </c>
      <c r="F333" s="38">
        <v>0</v>
      </c>
      <c r="G333" s="31">
        <v>0</v>
      </c>
      <c r="H333" s="38">
        <v>0</v>
      </c>
      <c r="I333" s="38">
        <v>0</v>
      </c>
      <c r="J333" s="38">
        <v>0</v>
      </c>
      <c r="K333" s="33">
        <v>0</v>
      </c>
      <c r="L333" s="31">
        <v>0</v>
      </c>
      <c r="M333" s="31">
        <v>0</v>
      </c>
      <c r="N333" s="31">
        <v>0</v>
      </c>
      <c r="O333" s="38">
        <v>0</v>
      </c>
      <c r="P333" s="38">
        <v>0</v>
      </c>
      <c r="Q333" s="31">
        <v>0</v>
      </c>
      <c r="R333" s="31">
        <v>0</v>
      </c>
      <c r="S333" s="31">
        <v>84.3</v>
      </c>
      <c r="T333" s="31">
        <v>1784615.64</v>
      </c>
      <c r="U333" s="31">
        <v>0</v>
      </c>
      <c r="V333" s="31">
        <v>0</v>
      </c>
      <c r="W333" s="31">
        <v>0</v>
      </c>
      <c r="X333" s="31">
        <v>0</v>
      </c>
      <c r="Y333" s="31">
        <v>0</v>
      </c>
      <c r="Z333" s="31">
        <v>0</v>
      </c>
      <c r="AA333" s="31">
        <v>0</v>
      </c>
      <c r="AB333" s="31">
        <v>0</v>
      </c>
      <c r="AC333" s="31">
        <f>ROUND(T333*1.5%,2)</f>
        <v>26769.23</v>
      </c>
      <c r="AD333" s="31">
        <v>0</v>
      </c>
      <c r="AE333" s="31">
        <v>0</v>
      </c>
      <c r="AF333" s="34" t="s">
        <v>274</v>
      </c>
      <c r="AG333" s="34">
        <v>2020</v>
      </c>
      <c r="AH333" s="35">
        <v>2020</v>
      </c>
      <c r="BZ333" s="71"/>
      <c r="CD333" s="20" t="e">
        <f t="shared" si="33"/>
        <v>#N/A</v>
      </c>
    </row>
    <row r="334" spans="1:82" ht="61.5" x14ac:dyDescent="0.85">
      <c r="A334" s="20">
        <v>1</v>
      </c>
      <c r="B334" s="66">
        <f>SUBTOTAL(103,$A$22:A334)</f>
        <v>298</v>
      </c>
      <c r="C334" s="24" t="s">
        <v>1246</v>
      </c>
      <c r="D334" s="31">
        <f t="shared" si="45"/>
        <v>1787601.6700000002</v>
      </c>
      <c r="E334" s="38">
        <v>0</v>
      </c>
      <c r="F334" s="38">
        <v>0</v>
      </c>
      <c r="G334" s="31">
        <v>0</v>
      </c>
      <c r="H334" s="38">
        <v>0</v>
      </c>
      <c r="I334" s="38">
        <v>0</v>
      </c>
      <c r="J334" s="38">
        <v>0</v>
      </c>
      <c r="K334" s="33">
        <v>0</v>
      </c>
      <c r="L334" s="31">
        <v>0</v>
      </c>
      <c r="M334" s="31">
        <v>374.3</v>
      </c>
      <c r="N334" s="31">
        <v>1642957.31</v>
      </c>
      <c r="O334" s="38">
        <v>0</v>
      </c>
      <c r="P334" s="38">
        <v>0</v>
      </c>
      <c r="Q334" s="31">
        <v>0</v>
      </c>
      <c r="R334" s="31">
        <v>0</v>
      </c>
      <c r="S334" s="31">
        <v>0</v>
      </c>
      <c r="T334" s="31">
        <v>0</v>
      </c>
      <c r="U334" s="31">
        <v>0</v>
      </c>
      <c r="V334" s="31">
        <v>0</v>
      </c>
      <c r="W334" s="31">
        <v>0</v>
      </c>
      <c r="X334" s="31">
        <v>0</v>
      </c>
      <c r="Y334" s="31">
        <v>0</v>
      </c>
      <c r="Z334" s="31">
        <v>0</v>
      </c>
      <c r="AA334" s="31">
        <v>0</v>
      </c>
      <c r="AB334" s="31">
        <v>0</v>
      </c>
      <c r="AC334" s="31">
        <f>ROUND(N334*1.5%,2)</f>
        <v>24644.36</v>
      </c>
      <c r="AD334" s="31">
        <v>0</v>
      </c>
      <c r="AE334" s="31">
        <v>120000</v>
      </c>
      <c r="AF334" s="34" t="s">
        <v>274</v>
      </c>
      <c r="AG334" s="34">
        <v>2020</v>
      </c>
      <c r="AH334" s="35">
        <v>2020</v>
      </c>
      <c r="BZ334" s="71"/>
      <c r="CD334" s="20">
        <f t="shared" si="33"/>
        <v>374.3</v>
      </c>
    </row>
    <row r="335" spans="1:82" ht="61.5" x14ac:dyDescent="0.85">
      <c r="A335" s="20">
        <v>1</v>
      </c>
      <c r="B335" s="66">
        <f>SUBTOTAL(103,$A$22:A335)</f>
        <v>299</v>
      </c>
      <c r="C335" s="24" t="s">
        <v>1583</v>
      </c>
      <c r="D335" s="31">
        <f t="shared" si="45"/>
        <v>1410291.19</v>
      </c>
      <c r="E335" s="38">
        <v>0</v>
      </c>
      <c r="F335" s="38">
        <v>0</v>
      </c>
      <c r="G335" s="31">
        <v>0</v>
      </c>
      <c r="H335" s="38">
        <v>0</v>
      </c>
      <c r="I335" s="38">
        <v>0</v>
      </c>
      <c r="J335" s="38">
        <v>0</v>
      </c>
      <c r="K335" s="33">
        <v>0</v>
      </c>
      <c r="L335" s="31">
        <v>0</v>
      </c>
      <c r="M335" s="31">
        <v>329.1</v>
      </c>
      <c r="N335" s="31">
        <v>1389449.45</v>
      </c>
      <c r="O335" s="38">
        <v>0</v>
      </c>
      <c r="P335" s="38">
        <v>0</v>
      </c>
      <c r="Q335" s="31">
        <v>0</v>
      </c>
      <c r="R335" s="31">
        <v>0</v>
      </c>
      <c r="S335" s="31">
        <v>0</v>
      </c>
      <c r="T335" s="31">
        <v>0</v>
      </c>
      <c r="U335" s="31">
        <v>0</v>
      </c>
      <c r="V335" s="31">
        <v>0</v>
      </c>
      <c r="W335" s="31">
        <v>0</v>
      </c>
      <c r="X335" s="31">
        <v>0</v>
      </c>
      <c r="Y335" s="31">
        <v>0</v>
      </c>
      <c r="Z335" s="31">
        <v>0</v>
      </c>
      <c r="AA335" s="31">
        <v>0</v>
      </c>
      <c r="AB335" s="31">
        <v>0</v>
      </c>
      <c r="AC335" s="31">
        <f>ROUND(N335*1.5%,2)</f>
        <v>20841.740000000002</v>
      </c>
      <c r="AD335" s="31">
        <v>0</v>
      </c>
      <c r="AE335" s="31">
        <v>0</v>
      </c>
      <c r="AF335" s="34" t="s">
        <v>274</v>
      </c>
      <c r="AG335" s="34">
        <v>2020</v>
      </c>
      <c r="AH335" s="35">
        <v>2020</v>
      </c>
      <c r="BZ335" s="71"/>
      <c r="CD335" s="20">
        <f t="shared" si="33"/>
        <v>329.1</v>
      </c>
    </row>
    <row r="336" spans="1:82" ht="61.5" x14ac:dyDescent="0.85">
      <c r="A336" s="20">
        <v>1</v>
      </c>
      <c r="B336" s="66">
        <f>SUBTOTAL(103,$A$22:A336)</f>
        <v>300</v>
      </c>
      <c r="C336" s="24" t="s">
        <v>1584</v>
      </c>
      <c r="D336" s="31">
        <f t="shared" si="45"/>
        <v>2288459.5900000003</v>
      </c>
      <c r="E336" s="38">
        <v>0</v>
      </c>
      <c r="F336" s="38">
        <v>0</v>
      </c>
      <c r="G336" s="31">
        <v>0</v>
      </c>
      <c r="H336" s="38">
        <v>0</v>
      </c>
      <c r="I336" s="38">
        <v>0</v>
      </c>
      <c r="J336" s="38">
        <v>0</v>
      </c>
      <c r="K336" s="33">
        <v>0</v>
      </c>
      <c r="L336" s="31">
        <v>0</v>
      </c>
      <c r="M336" s="31">
        <v>611</v>
      </c>
      <c r="N336" s="31">
        <v>2254639.9900000002</v>
      </c>
      <c r="O336" s="38">
        <v>0</v>
      </c>
      <c r="P336" s="38">
        <v>0</v>
      </c>
      <c r="Q336" s="31">
        <v>0</v>
      </c>
      <c r="R336" s="31">
        <v>0</v>
      </c>
      <c r="S336" s="31">
        <v>0</v>
      </c>
      <c r="T336" s="31">
        <v>0</v>
      </c>
      <c r="U336" s="31">
        <v>0</v>
      </c>
      <c r="V336" s="31">
        <v>0</v>
      </c>
      <c r="W336" s="31">
        <v>0</v>
      </c>
      <c r="X336" s="31">
        <v>0</v>
      </c>
      <c r="Y336" s="31">
        <v>0</v>
      </c>
      <c r="Z336" s="31">
        <v>0</v>
      </c>
      <c r="AA336" s="31">
        <v>0</v>
      </c>
      <c r="AB336" s="31">
        <v>0</v>
      </c>
      <c r="AC336" s="31">
        <f>ROUND(N336*1.5%,2)</f>
        <v>33819.599999999999</v>
      </c>
      <c r="AD336" s="31">
        <v>0</v>
      </c>
      <c r="AE336" s="31">
        <v>0</v>
      </c>
      <c r="AF336" s="34" t="s">
        <v>274</v>
      </c>
      <c r="AG336" s="34">
        <v>2020</v>
      </c>
      <c r="AH336" s="35">
        <v>2020</v>
      </c>
      <c r="BZ336" s="71"/>
      <c r="CD336" s="20">
        <f t="shared" si="33"/>
        <v>611</v>
      </c>
    </row>
    <row r="337" spans="1:82" ht="61.5" x14ac:dyDescent="0.85">
      <c r="A337" s="20">
        <v>1</v>
      </c>
      <c r="B337" s="66">
        <f>SUBTOTAL(103,$A$22:A337)</f>
        <v>301</v>
      </c>
      <c r="C337" s="24" t="s">
        <v>1598</v>
      </c>
      <c r="D337" s="31">
        <f t="shared" si="45"/>
        <v>2836351.9</v>
      </c>
      <c r="E337" s="38">
        <v>0</v>
      </c>
      <c r="F337" s="38">
        <v>0</v>
      </c>
      <c r="G337" s="31">
        <v>0</v>
      </c>
      <c r="H337" s="38">
        <v>0</v>
      </c>
      <c r="I337" s="38">
        <v>0</v>
      </c>
      <c r="J337" s="38">
        <v>0</v>
      </c>
      <c r="K337" s="33">
        <v>0</v>
      </c>
      <c r="L337" s="31">
        <v>0</v>
      </c>
      <c r="M337" s="31">
        <v>606</v>
      </c>
      <c r="N337" s="31">
        <v>2794435.37</v>
      </c>
      <c r="O337" s="38">
        <v>0</v>
      </c>
      <c r="P337" s="38">
        <v>0</v>
      </c>
      <c r="Q337" s="31">
        <v>0</v>
      </c>
      <c r="R337" s="31">
        <v>0</v>
      </c>
      <c r="S337" s="31">
        <v>0</v>
      </c>
      <c r="T337" s="31">
        <v>0</v>
      </c>
      <c r="U337" s="31">
        <v>0</v>
      </c>
      <c r="V337" s="31">
        <v>0</v>
      </c>
      <c r="W337" s="31">
        <v>0</v>
      </c>
      <c r="X337" s="31">
        <v>0</v>
      </c>
      <c r="Y337" s="31">
        <v>0</v>
      </c>
      <c r="Z337" s="31">
        <v>0</v>
      </c>
      <c r="AA337" s="31">
        <v>0</v>
      </c>
      <c r="AB337" s="31">
        <v>0</v>
      </c>
      <c r="AC337" s="31">
        <f>ROUND(N337*1.5%,2)</f>
        <v>41916.53</v>
      </c>
      <c r="AD337" s="31">
        <v>0</v>
      </c>
      <c r="AE337" s="31">
        <v>0</v>
      </c>
      <c r="AF337" s="34" t="s">
        <v>274</v>
      </c>
      <c r="AG337" s="34">
        <v>2020</v>
      </c>
      <c r="AH337" s="35">
        <v>2020</v>
      </c>
      <c r="BZ337" s="71"/>
      <c r="CD337" s="20">
        <f t="shared" si="33"/>
        <v>606</v>
      </c>
    </row>
    <row r="338" spans="1:82" ht="61.5" x14ac:dyDescent="0.85">
      <c r="A338" s="20">
        <v>1</v>
      </c>
      <c r="B338" s="66">
        <f>SUBTOTAL(103,$A$22:A338)</f>
        <v>302</v>
      </c>
      <c r="C338" s="24" t="s">
        <v>1599</v>
      </c>
      <c r="D338" s="31">
        <f t="shared" si="45"/>
        <v>2304536.62</v>
      </c>
      <c r="E338" s="38">
        <v>0</v>
      </c>
      <c r="F338" s="38">
        <v>0</v>
      </c>
      <c r="G338" s="31">
        <v>0</v>
      </c>
      <c r="H338" s="38">
        <v>0</v>
      </c>
      <c r="I338" s="38">
        <v>0</v>
      </c>
      <c r="J338" s="38">
        <v>0</v>
      </c>
      <c r="K338" s="33">
        <v>0</v>
      </c>
      <c r="L338" s="31">
        <v>0</v>
      </c>
      <c r="M338" s="31">
        <v>592.07000000000005</v>
      </c>
      <c r="N338" s="31">
        <v>2270479.4300000002</v>
      </c>
      <c r="O338" s="38">
        <v>0</v>
      </c>
      <c r="P338" s="38">
        <v>0</v>
      </c>
      <c r="Q338" s="31">
        <v>0</v>
      </c>
      <c r="R338" s="31">
        <v>0</v>
      </c>
      <c r="S338" s="31">
        <v>0</v>
      </c>
      <c r="T338" s="31">
        <v>0</v>
      </c>
      <c r="U338" s="31">
        <v>0</v>
      </c>
      <c r="V338" s="31">
        <v>0</v>
      </c>
      <c r="W338" s="31">
        <v>0</v>
      </c>
      <c r="X338" s="31">
        <v>0</v>
      </c>
      <c r="Y338" s="31">
        <v>0</v>
      </c>
      <c r="Z338" s="31">
        <v>0</v>
      </c>
      <c r="AA338" s="31">
        <v>0</v>
      </c>
      <c r="AB338" s="31">
        <v>0</v>
      </c>
      <c r="AC338" s="31">
        <f>ROUND(N338*1.5%,2)</f>
        <v>34057.19</v>
      </c>
      <c r="AD338" s="31">
        <v>0</v>
      </c>
      <c r="AE338" s="31">
        <v>0</v>
      </c>
      <c r="AF338" s="34" t="s">
        <v>274</v>
      </c>
      <c r="AG338" s="34">
        <v>2020</v>
      </c>
      <c r="AH338" s="35">
        <v>2020</v>
      </c>
      <c r="BZ338" s="71"/>
      <c r="CD338" s="20">
        <f t="shared" si="33"/>
        <v>592.07000000000005</v>
      </c>
    </row>
    <row r="339" spans="1:82" ht="61.5" x14ac:dyDescent="0.85">
      <c r="A339" s="20">
        <v>1</v>
      </c>
      <c r="B339" s="66">
        <f>SUBTOTAL(103,$A$22:A339)</f>
        <v>303</v>
      </c>
      <c r="C339" s="24" t="s">
        <v>1635</v>
      </c>
      <c r="D339" s="31">
        <f t="shared" si="45"/>
        <v>1465773.2100000002</v>
      </c>
      <c r="E339" s="38">
        <v>0</v>
      </c>
      <c r="F339" s="38">
        <v>0</v>
      </c>
      <c r="G339" s="31">
        <v>0</v>
      </c>
      <c r="H339" s="38">
        <v>0</v>
      </c>
      <c r="I339" s="38">
        <v>0</v>
      </c>
      <c r="J339" s="38">
        <v>0</v>
      </c>
      <c r="K339" s="33">
        <v>0</v>
      </c>
      <c r="L339" s="31">
        <v>0</v>
      </c>
      <c r="M339" s="31">
        <v>0</v>
      </c>
      <c r="N339" s="31">
        <v>0</v>
      </c>
      <c r="O339" s="38">
        <v>0</v>
      </c>
      <c r="P339" s="38">
        <v>0</v>
      </c>
      <c r="Q339" s="31">
        <v>377.9</v>
      </c>
      <c r="R339" s="31">
        <v>1394850.4500000002</v>
      </c>
      <c r="S339" s="31">
        <v>0</v>
      </c>
      <c r="T339" s="31">
        <v>0</v>
      </c>
      <c r="U339" s="31">
        <v>0</v>
      </c>
      <c r="V339" s="31">
        <v>0</v>
      </c>
      <c r="W339" s="31">
        <v>0</v>
      </c>
      <c r="X339" s="31">
        <v>0</v>
      </c>
      <c r="Y339" s="31">
        <v>0</v>
      </c>
      <c r="Z339" s="31">
        <v>0</v>
      </c>
      <c r="AA339" s="31">
        <v>0</v>
      </c>
      <c r="AB339" s="31">
        <v>0</v>
      </c>
      <c r="AC339" s="31">
        <f>ROUND(R339*1.5%,2)</f>
        <v>20922.759999999998</v>
      </c>
      <c r="AD339" s="31">
        <v>50000</v>
      </c>
      <c r="AE339" s="31">
        <v>0</v>
      </c>
      <c r="AF339" s="34">
        <v>2020</v>
      </c>
      <c r="AG339" s="34">
        <v>2020</v>
      </c>
      <c r="AH339" s="35">
        <v>2020</v>
      </c>
      <c r="BZ339" s="71"/>
      <c r="CD339" s="20" t="e">
        <f t="shared" si="33"/>
        <v>#N/A</v>
      </c>
    </row>
    <row r="340" spans="1:82" ht="61.5" x14ac:dyDescent="0.85">
      <c r="B340" s="24" t="s">
        <v>850</v>
      </c>
      <c r="C340" s="24"/>
      <c r="D340" s="31">
        <f>SUM(D341:D346)</f>
        <v>4497026.37</v>
      </c>
      <c r="E340" s="31">
        <f t="shared" ref="E340:AE340" si="46">SUM(E341:E346)</f>
        <v>0</v>
      </c>
      <c r="F340" s="31">
        <f t="shared" si="46"/>
        <v>0</v>
      </c>
      <c r="G340" s="31">
        <f t="shared" si="46"/>
        <v>0</v>
      </c>
      <c r="H340" s="31">
        <f t="shared" si="46"/>
        <v>268723.52</v>
      </c>
      <c r="I340" s="31">
        <f t="shared" si="46"/>
        <v>0</v>
      </c>
      <c r="J340" s="31">
        <f t="shared" si="46"/>
        <v>0</v>
      </c>
      <c r="K340" s="33">
        <f t="shared" si="46"/>
        <v>0</v>
      </c>
      <c r="L340" s="31">
        <f t="shared" si="46"/>
        <v>0</v>
      </c>
      <c r="M340" s="31">
        <f t="shared" si="46"/>
        <v>558</v>
      </c>
      <c r="N340" s="31">
        <f t="shared" si="46"/>
        <v>2265679.4299999997</v>
      </c>
      <c r="O340" s="31">
        <f t="shared" si="46"/>
        <v>0</v>
      </c>
      <c r="P340" s="31">
        <f t="shared" si="46"/>
        <v>0</v>
      </c>
      <c r="Q340" s="31">
        <f t="shared" si="46"/>
        <v>369.1</v>
      </c>
      <c r="R340" s="31">
        <f t="shared" si="46"/>
        <v>1359619.7</v>
      </c>
      <c r="S340" s="31">
        <f t="shared" si="46"/>
        <v>41.6</v>
      </c>
      <c r="T340" s="31">
        <f t="shared" si="46"/>
        <v>378146.57</v>
      </c>
      <c r="U340" s="31">
        <f t="shared" si="46"/>
        <v>0</v>
      </c>
      <c r="V340" s="31">
        <f t="shared" si="46"/>
        <v>0</v>
      </c>
      <c r="W340" s="31">
        <f t="shared" si="46"/>
        <v>0</v>
      </c>
      <c r="X340" s="31">
        <f t="shared" si="46"/>
        <v>0</v>
      </c>
      <c r="Y340" s="31">
        <f t="shared" si="46"/>
        <v>0</v>
      </c>
      <c r="Z340" s="31">
        <f t="shared" si="46"/>
        <v>0</v>
      </c>
      <c r="AA340" s="31">
        <f t="shared" si="46"/>
        <v>0</v>
      </c>
      <c r="AB340" s="31">
        <f t="shared" si="46"/>
        <v>0</v>
      </c>
      <c r="AC340" s="31">
        <f t="shared" si="46"/>
        <v>64082.54</v>
      </c>
      <c r="AD340" s="31">
        <f t="shared" si="46"/>
        <v>160774.60999999999</v>
      </c>
      <c r="AE340" s="31">
        <f t="shared" si="46"/>
        <v>0</v>
      </c>
      <c r="AF340" s="72" t="s">
        <v>776</v>
      </c>
      <c r="AG340" s="72" t="s">
        <v>776</v>
      </c>
      <c r="AH340" s="89" t="s">
        <v>776</v>
      </c>
      <c r="AT340" s="20" t="e">
        <f>VLOOKUP(C340,AW:AX,2,FALSE)</f>
        <v>#N/A</v>
      </c>
      <c r="BZ340" s="71">
        <v>4925031.5999999996</v>
      </c>
      <c r="CB340" s="71">
        <f>BZ340-D340</f>
        <v>428005.22999999952</v>
      </c>
      <c r="CD340" s="20" t="e">
        <f t="shared" si="33"/>
        <v>#N/A</v>
      </c>
    </row>
    <row r="341" spans="1:82" ht="61.5" x14ac:dyDescent="0.85">
      <c r="A341" s="20">
        <v>1</v>
      </c>
      <c r="B341" s="66">
        <f>SUBTOTAL(103,$A$22:A341)</f>
        <v>304</v>
      </c>
      <c r="C341" s="24" t="s">
        <v>251</v>
      </c>
      <c r="D341" s="31">
        <f t="shared" ref="D341:D346" si="47">E341+F341+G341+H341+I341+J341+L341+N341+P341+R341+T341+U341+V341+W341+X341+Y341+Z341+AA341+AB341+AC341+AD341+AE341</f>
        <v>177334.07</v>
      </c>
      <c r="E341" s="31">
        <v>0</v>
      </c>
      <c r="F341" s="31">
        <v>0</v>
      </c>
      <c r="G341" s="31">
        <v>0</v>
      </c>
      <c r="H341" s="31">
        <v>134541.34</v>
      </c>
      <c r="I341" s="31">
        <v>0</v>
      </c>
      <c r="J341" s="31">
        <v>0</v>
      </c>
      <c r="K341" s="33">
        <v>0</v>
      </c>
      <c r="L341" s="31">
        <v>0</v>
      </c>
      <c r="M341" s="31">
        <v>0</v>
      </c>
      <c r="N341" s="31">
        <v>0</v>
      </c>
      <c r="O341" s="31">
        <v>0</v>
      </c>
      <c r="P341" s="31">
        <v>0</v>
      </c>
      <c r="Q341" s="31">
        <v>0</v>
      </c>
      <c r="R341" s="31">
        <v>0</v>
      </c>
      <c r="S341" s="31">
        <v>0</v>
      </c>
      <c r="T341" s="31">
        <v>0</v>
      </c>
      <c r="U341" s="31">
        <v>0</v>
      </c>
      <c r="V341" s="31">
        <v>0</v>
      </c>
      <c r="W341" s="31">
        <v>0</v>
      </c>
      <c r="X341" s="31">
        <v>0</v>
      </c>
      <c r="Y341" s="31">
        <v>0</v>
      </c>
      <c r="Z341" s="31">
        <v>0</v>
      </c>
      <c r="AA341" s="31">
        <v>0</v>
      </c>
      <c r="AB341" s="31">
        <v>0</v>
      </c>
      <c r="AC341" s="31">
        <f>ROUND((E341+F341+G341+H341+I341+J341)*1.5%,2)</f>
        <v>2018.12</v>
      </c>
      <c r="AD341" s="31">
        <v>40774.61</v>
      </c>
      <c r="AE341" s="31">
        <v>0</v>
      </c>
      <c r="AF341" s="34">
        <v>2020</v>
      </c>
      <c r="AG341" s="34">
        <v>2020</v>
      </c>
      <c r="AH341" s="35">
        <v>2020</v>
      </c>
      <c r="AT341" s="20" t="e">
        <f>VLOOKUP(C341,AW:AX,2,FALSE)</f>
        <v>#N/A</v>
      </c>
      <c r="BZ341" s="71"/>
      <c r="CD341" s="20" t="e">
        <f t="shared" si="33"/>
        <v>#N/A</v>
      </c>
    </row>
    <row r="342" spans="1:82" ht="61.5" x14ac:dyDescent="0.85">
      <c r="A342" s="20">
        <v>1</v>
      </c>
      <c r="B342" s="66">
        <f>SUBTOTAL(103,$A$22:A342)</f>
        <v>305</v>
      </c>
      <c r="C342" s="24" t="s">
        <v>252</v>
      </c>
      <c r="D342" s="31">
        <f t="shared" si="47"/>
        <v>186194.91</v>
      </c>
      <c r="E342" s="31">
        <v>0</v>
      </c>
      <c r="F342" s="31">
        <v>0</v>
      </c>
      <c r="G342" s="31">
        <v>0</v>
      </c>
      <c r="H342" s="31">
        <v>134182.18</v>
      </c>
      <c r="I342" s="31">
        <v>0</v>
      </c>
      <c r="J342" s="31">
        <v>0</v>
      </c>
      <c r="K342" s="33">
        <v>0</v>
      </c>
      <c r="L342" s="31">
        <v>0</v>
      </c>
      <c r="M342" s="31">
        <v>0</v>
      </c>
      <c r="N342" s="31">
        <v>0</v>
      </c>
      <c r="O342" s="31">
        <v>0</v>
      </c>
      <c r="P342" s="31">
        <v>0</v>
      </c>
      <c r="Q342" s="31">
        <v>0</v>
      </c>
      <c r="R342" s="31">
        <v>0</v>
      </c>
      <c r="S342" s="31">
        <v>0</v>
      </c>
      <c r="T342" s="31">
        <v>0</v>
      </c>
      <c r="U342" s="31">
        <v>0</v>
      </c>
      <c r="V342" s="31">
        <v>0</v>
      </c>
      <c r="W342" s="31">
        <v>0</v>
      </c>
      <c r="X342" s="31">
        <v>0</v>
      </c>
      <c r="Y342" s="31">
        <v>0</v>
      </c>
      <c r="Z342" s="31">
        <v>0</v>
      </c>
      <c r="AA342" s="31">
        <v>0</v>
      </c>
      <c r="AB342" s="31">
        <v>0</v>
      </c>
      <c r="AC342" s="31">
        <f>ROUND((E342+F342+G342+H342+I342+J342)*1.5%,2)</f>
        <v>2012.73</v>
      </c>
      <c r="AD342" s="31">
        <v>50000</v>
      </c>
      <c r="AE342" s="31">
        <v>0</v>
      </c>
      <c r="AF342" s="34">
        <v>2020</v>
      </c>
      <c r="AG342" s="34">
        <v>2020</v>
      </c>
      <c r="AH342" s="35">
        <v>2020</v>
      </c>
      <c r="AT342" s="20" t="e">
        <f>VLOOKUP(C342,AW:AX,2,FALSE)</f>
        <v>#N/A</v>
      </c>
      <c r="BZ342" s="71"/>
      <c r="CD342" s="20" t="e">
        <f t="shared" si="33"/>
        <v>#N/A</v>
      </c>
    </row>
    <row r="343" spans="1:82" ht="61.5" x14ac:dyDescent="0.85">
      <c r="A343" s="20">
        <v>1</v>
      </c>
      <c r="B343" s="66">
        <f>SUBTOTAL(103,$A$22:A343)</f>
        <v>306</v>
      </c>
      <c r="C343" s="24" t="s">
        <v>1249</v>
      </c>
      <c r="D343" s="31">
        <f t="shared" si="47"/>
        <v>383818.77</v>
      </c>
      <c r="E343" s="31">
        <v>0</v>
      </c>
      <c r="F343" s="31">
        <v>0</v>
      </c>
      <c r="G343" s="31">
        <v>0</v>
      </c>
      <c r="H343" s="31">
        <v>0</v>
      </c>
      <c r="I343" s="31">
        <v>0</v>
      </c>
      <c r="J343" s="31">
        <v>0</v>
      </c>
      <c r="K343" s="33">
        <v>0</v>
      </c>
      <c r="L343" s="31">
        <v>0</v>
      </c>
      <c r="M343" s="31">
        <v>0</v>
      </c>
      <c r="N343" s="31">
        <v>0</v>
      </c>
      <c r="O343" s="31">
        <v>0</v>
      </c>
      <c r="P343" s="31">
        <v>0</v>
      </c>
      <c r="Q343" s="31">
        <v>0</v>
      </c>
      <c r="R343" s="31">
        <v>0</v>
      </c>
      <c r="S343" s="31">
        <v>41.6</v>
      </c>
      <c r="T343" s="31">
        <v>378146.57</v>
      </c>
      <c r="U343" s="31">
        <v>0</v>
      </c>
      <c r="V343" s="31">
        <v>0</v>
      </c>
      <c r="W343" s="31">
        <v>0</v>
      </c>
      <c r="X343" s="31">
        <v>0</v>
      </c>
      <c r="Y343" s="31">
        <v>0</v>
      </c>
      <c r="Z343" s="31">
        <v>0</v>
      </c>
      <c r="AA343" s="31">
        <v>0</v>
      </c>
      <c r="AB343" s="31">
        <v>0</v>
      </c>
      <c r="AC343" s="31">
        <f>ROUND(T343*1.5%,2)</f>
        <v>5672.2</v>
      </c>
      <c r="AD343" s="31">
        <v>0</v>
      </c>
      <c r="AE343" s="31">
        <v>0</v>
      </c>
      <c r="AF343" s="34" t="s">
        <v>274</v>
      </c>
      <c r="AG343" s="34">
        <v>2020</v>
      </c>
      <c r="AH343" s="35">
        <v>2020</v>
      </c>
      <c r="BZ343" s="71"/>
      <c r="CD343" s="20" t="e">
        <f t="shared" ref="CD343:CD406" si="48">VLOOKUP(C343,CE:CF,2,FALSE)</f>
        <v>#N/A</v>
      </c>
    </row>
    <row r="344" spans="1:82" ht="61.5" x14ac:dyDescent="0.85">
      <c r="A344" s="20">
        <v>1</v>
      </c>
      <c r="B344" s="66">
        <f>SUBTOTAL(103,$A$22:A344)</f>
        <v>307</v>
      </c>
      <c r="C344" s="24" t="s">
        <v>249</v>
      </c>
      <c r="D344" s="31">
        <f t="shared" si="47"/>
        <v>1450014</v>
      </c>
      <c r="E344" s="31">
        <v>0</v>
      </c>
      <c r="F344" s="31">
        <v>0</v>
      </c>
      <c r="G344" s="31">
        <v>0</v>
      </c>
      <c r="H344" s="31">
        <v>0</v>
      </c>
      <c r="I344" s="31">
        <v>0</v>
      </c>
      <c r="J344" s="31">
        <v>0</v>
      </c>
      <c r="K344" s="33">
        <v>0</v>
      </c>
      <c r="L344" s="31">
        <v>0</v>
      </c>
      <c r="M344" s="31">
        <v>0</v>
      </c>
      <c r="N344" s="31">
        <v>0</v>
      </c>
      <c r="O344" s="31">
        <v>0</v>
      </c>
      <c r="P344" s="31">
        <v>0</v>
      </c>
      <c r="Q344" s="31">
        <v>369.1</v>
      </c>
      <c r="R344" s="31">
        <v>1359619.7</v>
      </c>
      <c r="S344" s="31">
        <v>0</v>
      </c>
      <c r="T344" s="31">
        <v>0</v>
      </c>
      <c r="U344" s="31">
        <v>0</v>
      </c>
      <c r="V344" s="31">
        <v>0</v>
      </c>
      <c r="W344" s="31">
        <v>0</v>
      </c>
      <c r="X344" s="31">
        <v>0</v>
      </c>
      <c r="Y344" s="31">
        <v>0</v>
      </c>
      <c r="Z344" s="31">
        <v>0</v>
      </c>
      <c r="AA344" s="31">
        <v>0</v>
      </c>
      <c r="AB344" s="31">
        <v>0</v>
      </c>
      <c r="AC344" s="31">
        <f>ROUND(R344*1.5%,2)</f>
        <v>20394.3</v>
      </c>
      <c r="AD344" s="31">
        <v>70000</v>
      </c>
      <c r="AE344" s="31">
        <v>0</v>
      </c>
      <c r="AF344" s="34">
        <v>2020</v>
      </c>
      <c r="AG344" s="34">
        <v>2020</v>
      </c>
      <c r="AH344" s="35">
        <v>2020</v>
      </c>
      <c r="AT344" s="20" t="e">
        <f>VLOOKUP(C344,AW:AX,2,FALSE)</f>
        <v>#N/A</v>
      </c>
      <c r="BZ344" s="71"/>
      <c r="CD344" s="20" t="e">
        <f t="shared" si="48"/>
        <v>#N/A</v>
      </c>
    </row>
    <row r="345" spans="1:82" ht="123" x14ac:dyDescent="0.85">
      <c r="A345" s="20">
        <v>1</v>
      </c>
      <c r="B345" s="66">
        <f>SUBTOTAL(103,$A$22:A345)</f>
        <v>308</v>
      </c>
      <c r="C345" s="103" t="s">
        <v>1585</v>
      </c>
      <c r="D345" s="31">
        <f t="shared" si="47"/>
        <v>994570.83</v>
      </c>
      <c r="E345" s="31">
        <v>0</v>
      </c>
      <c r="F345" s="31">
        <v>0</v>
      </c>
      <c r="G345" s="31">
        <v>0</v>
      </c>
      <c r="H345" s="31">
        <v>0</v>
      </c>
      <c r="I345" s="31">
        <v>0</v>
      </c>
      <c r="J345" s="31">
        <v>0</v>
      </c>
      <c r="K345" s="33">
        <v>0</v>
      </c>
      <c r="L345" s="31">
        <v>0</v>
      </c>
      <c r="M345" s="31">
        <v>249</v>
      </c>
      <c r="N345" s="31">
        <v>979872.74</v>
      </c>
      <c r="O345" s="31">
        <v>0</v>
      </c>
      <c r="P345" s="31">
        <v>0</v>
      </c>
      <c r="Q345" s="31">
        <v>0</v>
      </c>
      <c r="R345" s="31">
        <v>0</v>
      </c>
      <c r="S345" s="31">
        <v>0</v>
      </c>
      <c r="T345" s="31">
        <v>0</v>
      </c>
      <c r="U345" s="31">
        <v>0</v>
      </c>
      <c r="V345" s="31">
        <v>0</v>
      </c>
      <c r="W345" s="31">
        <v>0</v>
      </c>
      <c r="X345" s="31">
        <v>0</v>
      </c>
      <c r="Y345" s="31">
        <v>0</v>
      </c>
      <c r="Z345" s="31">
        <v>0</v>
      </c>
      <c r="AA345" s="31">
        <v>0</v>
      </c>
      <c r="AB345" s="31">
        <v>0</v>
      </c>
      <c r="AC345" s="31">
        <f>ROUND(N345*1.5%,2)</f>
        <v>14698.09</v>
      </c>
      <c r="AD345" s="31">
        <v>0</v>
      </c>
      <c r="AE345" s="31">
        <v>0</v>
      </c>
      <c r="AF345" s="34" t="s">
        <v>274</v>
      </c>
      <c r="AG345" s="34">
        <v>2020</v>
      </c>
      <c r="AH345" s="35">
        <v>2020</v>
      </c>
      <c r="BZ345" s="71"/>
      <c r="CD345" s="20">
        <f t="shared" si="48"/>
        <v>249</v>
      </c>
    </row>
    <row r="346" spans="1:82" ht="61.5" x14ac:dyDescent="0.85">
      <c r="A346" s="20">
        <v>1</v>
      </c>
      <c r="B346" s="66">
        <f>SUBTOTAL(103,$A$22:A346)</f>
        <v>309</v>
      </c>
      <c r="C346" s="103" t="s">
        <v>1586</v>
      </c>
      <c r="D346" s="31">
        <f t="shared" si="47"/>
        <v>1305093.79</v>
      </c>
      <c r="E346" s="31">
        <v>0</v>
      </c>
      <c r="F346" s="31">
        <v>0</v>
      </c>
      <c r="G346" s="31">
        <v>0</v>
      </c>
      <c r="H346" s="31">
        <v>0</v>
      </c>
      <c r="I346" s="31">
        <v>0</v>
      </c>
      <c r="J346" s="31">
        <v>0</v>
      </c>
      <c r="K346" s="33">
        <v>0</v>
      </c>
      <c r="L346" s="31">
        <v>0</v>
      </c>
      <c r="M346" s="31">
        <v>309</v>
      </c>
      <c r="N346" s="31">
        <v>1285806.69</v>
      </c>
      <c r="O346" s="31">
        <v>0</v>
      </c>
      <c r="P346" s="31">
        <v>0</v>
      </c>
      <c r="Q346" s="31">
        <v>0</v>
      </c>
      <c r="R346" s="31">
        <v>0</v>
      </c>
      <c r="S346" s="31">
        <v>0</v>
      </c>
      <c r="T346" s="31">
        <v>0</v>
      </c>
      <c r="U346" s="31">
        <v>0</v>
      </c>
      <c r="V346" s="31">
        <v>0</v>
      </c>
      <c r="W346" s="31">
        <v>0</v>
      </c>
      <c r="X346" s="31">
        <v>0</v>
      </c>
      <c r="Y346" s="31">
        <v>0</v>
      </c>
      <c r="Z346" s="31">
        <v>0</v>
      </c>
      <c r="AA346" s="31">
        <v>0</v>
      </c>
      <c r="AB346" s="31">
        <v>0</v>
      </c>
      <c r="AC346" s="31">
        <f>ROUND(N346*1.5%,2)</f>
        <v>19287.099999999999</v>
      </c>
      <c r="AD346" s="31">
        <v>0</v>
      </c>
      <c r="AE346" s="31">
        <v>0</v>
      </c>
      <c r="AF346" s="34" t="s">
        <v>274</v>
      </c>
      <c r="AG346" s="34">
        <v>2020</v>
      </c>
      <c r="AH346" s="35">
        <v>2020</v>
      </c>
      <c r="BZ346" s="71"/>
      <c r="CD346" s="20">
        <f t="shared" si="48"/>
        <v>309</v>
      </c>
    </row>
    <row r="347" spans="1:82" ht="61.5" x14ac:dyDescent="0.85">
      <c r="B347" s="24" t="s">
        <v>851</v>
      </c>
      <c r="C347" s="24"/>
      <c r="D347" s="31">
        <f>SUM(D348:D350)</f>
        <v>5532352.54</v>
      </c>
      <c r="E347" s="31">
        <f t="shared" ref="E347:AE347" si="49">SUM(E348:E350)</f>
        <v>0</v>
      </c>
      <c r="F347" s="31">
        <f t="shared" si="49"/>
        <v>0</v>
      </c>
      <c r="G347" s="31">
        <f t="shared" si="49"/>
        <v>0</v>
      </c>
      <c r="H347" s="31">
        <f t="shared" si="49"/>
        <v>0</v>
      </c>
      <c r="I347" s="31">
        <f t="shared" si="49"/>
        <v>0</v>
      </c>
      <c r="J347" s="31">
        <f t="shared" si="49"/>
        <v>0</v>
      </c>
      <c r="K347" s="33">
        <f t="shared" si="49"/>
        <v>0</v>
      </c>
      <c r="L347" s="31">
        <f t="shared" si="49"/>
        <v>0</v>
      </c>
      <c r="M347" s="31">
        <f t="shared" si="49"/>
        <v>0</v>
      </c>
      <c r="N347" s="31">
        <f t="shared" si="49"/>
        <v>0</v>
      </c>
      <c r="O347" s="31">
        <f t="shared" si="49"/>
        <v>0</v>
      </c>
      <c r="P347" s="31">
        <f t="shared" si="49"/>
        <v>0</v>
      </c>
      <c r="Q347" s="31">
        <f t="shared" si="49"/>
        <v>1645.74</v>
      </c>
      <c r="R347" s="31">
        <f t="shared" si="49"/>
        <v>5322514.8199999994</v>
      </c>
      <c r="S347" s="31">
        <f t="shared" si="49"/>
        <v>0</v>
      </c>
      <c r="T347" s="31">
        <f t="shared" si="49"/>
        <v>0</v>
      </c>
      <c r="U347" s="31">
        <f t="shared" si="49"/>
        <v>0</v>
      </c>
      <c r="V347" s="31">
        <f t="shared" si="49"/>
        <v>0</v>
      </c>
      <c r="W347" s="31">
        <f t="shared" si="49"/>
        <v>0</v>
      </c>
      <c r="X347" s="31">
        <f t="shared" si="49"/>
        <v>0</v>
      </c>
      <c r="Y347" s="31">
        <f t="shared" si="49"/>
        <v>0</v>
      </c>
      <c r="Z347" s="31">
        <f t="shared" si="49"/>
        <v>0</v>
      </c>
      <c r="AA347" s="31">
        <f t="shared" si="49"/>
        <v>0</v>
      </c>
      <c r="AB347" s="31">
        <f t="shared" si="49"/>
        <v>0</v>
      </c>
      <c r="AC347" s="31">
        <f t="shared" si="49"/>
        <v>79837.72</v>
      </c>
      <c r="AD347" s="31">
        <f t="shared" si="49"/>
        <v>130000</v>
      </c>
      <c r="AE347" s="31">
        <f t="shared" si="49"/>
        <v>0</v>
      </c>
      <c r="AF347" s="72" t="s">
        <v>776</v>
      </c>
      <c r="AG347" s="72" t="s">
        <v>776</v>
      </c>
      <c r="AH347" s="89" t="s">
        <v>776</v>
      </c>
      <c r="AT347" s="20" t="e">
        <f>VLOOKUP(C347,AW:AX,2,FALSE)</f>
        <v>#N/A</v>
      </c>
      <c r="BZ347" s="71">
        <v>5532352.54</v>
      </c>
      <c r="CB347" s="71">
        <f>BZ347-D347</f>
        <v>0</v>
      </c>
      <c r="CD347" s="20" t="e">
        <f t="shared" si="48"/>
        <v>#N/A</v>
      </c>
    </row>
    <row r="348" spans="1:82" ht="61.5" x14ac:dyDescent="0.85">
      <c r="A348" s="20">
        <v>1</v>
      </c>
      <c r="B348" s="66">
        <f>SUBTOTAL(103,$A$22:A348)</f>
        <v>310</v>
      </c>
      <c r="C348" s="24" t="s">
        <v>246</v>
      </c>
      <c r="D348" s="31">
        <f>E348+F348+G348+H348+I348+J348+L348+N348+P348+R348+T348+U348+V348+W348+X348+Y348+Z348+AA348+AB348+AC348+AD348+AE348</f>
        <v>1765119.99</v>
      </c>
      <c r="E348" s="31">
        <v>0</v>
      </c>
      <c r="F348" s="31">
        <v>0</v>
      </c>
      <c r="G348" s="31">
        <v>0</v>
      </c>
      <c r="H348" s="31">
        <v>0</v>
      </c>
      <c r="I348" s="31">
        <v>0</v>
      </c>
      <c r="J348" s="31">
        <v>0</v>
      </c>
      <c r="K348" s="33">
        <v>0</v>
      </c>
      <c r="L348" s="31">
        <v>0</v>
      </c>
      <c r="M348" s="31">
        <v>0</v>
      </c>
      <c r="N348" s="31">
        <v>0</v>
      </c>
      <c r="O348" s="31">
        <v>0</v>
      </c>
      <c r="P348" s="31">
        <v>0</v>
      </c>
      <c r="Q348" s="31">
        <v>490.6</v>
      </c>
      <c r="R348" s="31">
        <v>1610955.66</v>
      </c>
      <c r="S348" s="31">
        <v>0</v>
      </c>
      <c r="T348" s="31">
        <v>0</v>
      </c>
      <c r="U348" s="31">
        <v>0</v>
      </c>
      <c r="V348" s="31">
        <v>0</v>
      </c>
      <c r="W348" s="31">
        <v>0</v>
      </c>
      <c r="X348" s="31">
        <v>0</v>
      </c>
      <c r="Y348" s="31">
        <v>0</v>
      </c>
      <c r="Z348" s="31">
        <v>0</v>
      </c>
      <c r="AA348" s="31">
        <v>0</v>
      </c>
      <c r="AB348" s="31">
        <v>0</v>
      </c>
      <c r="AC348" s="31">
        <f>ROUND(R348*1.5%,2)</f>
        <v>24164.33</v>
      </c>
      <c r="AD348" s="31">
        <v>130000</v>
      </c>
      <c r="AE348" s="31">
        <v>0</v>
      </c>
      <c r="AF348" s="34">
        <v>2020</v>
      </c>
      <c r="AG348" s="34">
        <v>2020</v>
      </c>
      <c r="AH348" s="35">
        <v>2020</v>
      </c>
      <c r="AT348" s="20" t="e">
        <f>VLOOKUP(C348,AW:AX,2,FALSE)</f>
        <v>#N/A</v>
      </c>
      <c r="BZ348" s="71"/>
      <c r="CD348" s="20" t="e">
        <f t="shared" si="48"/>
        <v>#N/A</v>
      </c>
    </row>
    <row r="349" spans="1:82" ht="61.5" x14ac:dyDescent="0.85">
      <c r="A349" s="20">
        <v>1</v>
      </c>
      <c r="B349" s="66">
        <f>SUBTOTAL(103,$A$22:A349)</f>
        <v>311</v>
      </c>
      <c r="C349" s="24" t="s">
        <v>1247</v>
      </c>
      <c r="D349" s="31">
        <f>E349+F349+G349+H349+I349+J349+L349+N349+P349+R349+T349+U349+V349+W349+X349+Y349+Z349+AA349+AB349+AC349+AD349+AE349</f>
        <v>2476874.58</v>
      </c>
      <c r="E349" s="38">
        <v>0</v>
      </c>
      <c r="F349" s="38">
        <v>0</v>
      </c>
      <c r="G349" s="31">
        <v>0</v>
      </c>
      <c r="H349" s="38">
        <v>0</v>
      </c>
      <c r="I349" s="38">
        <v>0</v>
      </c>
      <c r="J349" s="38">
        <v>0</v>
      </c>
      <c r="K349" s="33">
        <v>0</v>
      </c>
      <c r="L349" s="31">
        <v>0</v>
      </c>
      <c r="M349" s="31">
        <v>0</v>
      </c>
      <c r="N349" s="31">
        <v>0</v>
      </c>
      <c r="O349" s="38">
        <v>0</v>
      </c>
      <c r="P349" s="38">
        <v>0</v>
      </c>
      <c r="Q349" s="31">
        <v>658.14</v>
      </c>
      <c r="R349" s="31">
        <v>2440270.52</v>
      </c>
      <c r="S349" s="31">
        <v>0</v>
      </c>
      <c r="T349" s="31">
        <v>0</v>
      </c>
      <c r="U349" s="31">
        <v>0</v>
      </c>
      <c r="V349" s="31">
        <v>0</v>
      </c>
      <c r="W349" s="31">
        <v>0</v>
      </c>
      <c r="X349" s="31">
        <v>0</v>
      </c>
      <c r="Y349" s="31">
        <v>0</v>
      </c>
      <c r="Z349" s="31">
        <v>0</v>
      </c>
      <c r="AA349" s="31">
        <v>0</v>
      </c>
      <c r="AB349" s="31">
        <v>0</v>
      </c>
      <c r="AC349" s="31">
        <f>ROUND(R349*1.5%,2)</f>
        <v>36604.06</v>
      </c>
      <c r="AD349" s="31">
        <v>0</v>
      </c>
      <c r="AE349" s="31">
        <v>0</v>
      </c>
      <c r="AF349" s="34" t="s">
        <v>274</v>
      </c>
      <c r="AG349" s="34">
        <v>2020</v>
      </c>
      <c r="AH349" s="35">
        <v>2020</v>
      </c>
      <c r="BZ349" s="71"/>
      <c r="CD349" s="20" t="e">
        <f t="shared" si="48"/>
        <v>#N/A</v>
      </c>
    </row>
    <row r="350" spans="1:82" ht="61.5" x14ac:dyDescent="0.85">
      <c r="A350" s="20">
        <v>1</v>
      </c>
      <c r="B350" s="66">
        <f>SUBTOTAL(103,$A$22:A350)</f>
        <v>312</v>
      </c>
      <c r="C350" s="24" t="s">
        <v>1248</v>
      </c>
      <c r="D350" s="31">
        <f>E350+F350+G350+H350+I350+J350+L350+N350+P350+R350+T350+U350+V350+W350+X350+Y350+Z350+AA350+AB350+AC350+AD350+AE350</f>
        <v>1290357.97</v>
      </c>
      <c r="E350" s="38">
        <v>0</v>
      </c>
      <c r="F350" s="38">
        <v>0</v>
      </c>
      <c r="G350" s="31">
        <v>0</v>
      </c>
      <c r="H350" s="38">
        <v>0</v>
      </c>
      <c r="I350" s="38">
        <v>0</v>
      </c>
      <c r="J350" s="38">
        <v>0</v>
      </c>
      <c r="K350" s="33">
        <v>0</v>
      </c>
      <c r="L350" s="31">
        <v>0</v>
      </c>
      <c r="M350" s="31">
        <v>0</v>
      </c>
      <c r="N350" s="31">
        <v>0</v>
      </c>
      <c r="O350" s="38">
        <v>0</v>
      </c>
      <c r="P350" s="38">
        <v>0</v>
      </c>
      <c r="Q350" s="31">
        <v>497</v>
      </c>
      <c r="R350" s="31">
        <v>1271288.6399999999</v>
      </c>
      <c r="S350" s="31">
        <v>0</v>
      </c>
      <c r="T350" s="31">
        <v>0</v>
      </c>
      <c r="U350" s="31">
        <v>0</v>
      </c>
      <c r="V350" s="31">
        <v>0</v>
      </c>
      <c r="W350" s="31">
        <v>0</v>
      </c>
      <c r="X350" s="31">
        <v>0</v>
      </c>
      <c r="Y350" s="31">
        <v>0</v>
      </c>
      <c r="Z350" s="31">
        <v>0</v>
      </c>
      <c r="AA350" s="31">
        <v>0</v>
      </c>
      <c r="AB350" s="31">
        <v>0</v>
      </c>
      <c r="AC350" s="31">
        <f>ROUND(R350*1.5%,2)</f>
        <v>19069.330000000002</v>
      </c>
      <c r="AD350" s="31">
        <v>0</v>
      </c>
      <c r="AE350" s="31">
        <v>0</v>
      </c>
      <c r="AF350" s="34" t="s">
        <v>274</v>
      </c>
      <c r="AG350" s="34">
        <v>2020</v>
      </c>
      <c r="AH350" s="35">
        <v>2020</v>
      </c>
      <c r="BZ350" s="71"/>
      <c r="CD350" s="20" t="e">
        <f t="shared" si="48"/>
        <v>#N/A</v>
      </c>
    </row>
    <row r="351" spans="1:82" ht="61.5" x14ac:dyDescent="0.85">
      <c r="B351" s="24" t="s">
        <v>852</v>
      </c>
      <c r="C351" s="167"/>
      <c r="D351" s="30">
        <f>SUM(D352:D353)</f>
        <v>7838189.9699999997</v>
      </c>
      <c r="E351" s="30">
        <f t="shared" ref="E351:AE351" si="50">SUM(E352:E353)</f>
        <v>0</v>
      </c>
      <c r="F351" s="30">
        <f t="shared" si="50"/>
        <v>0</v>
      </c>
      <c r="G351" s="30">
        <f t="shared" si="50"/>
        <v>0</v>
      </c>
      <c r="H351" s="30">
        <f t="shared" si="50"/>
        <v>0</v>
      </c>
      <c r="I351" s="30">
        <f t="shared" si="50"/>
        <v>0</v>
      </c>
      <c r="J351" s="30">
        <f t="shared" si="50"/>
        <v>0</v>
      </c>
      <c r="K351" s="163">
        <f t="shared" si="50"/>
        <v>0</v>
      </c>
      <c r="L351" s="30">
        <f t="shared" si="50"/>
        <v>0</v>
      </c>
      <c r="M351" s="30">
        <f t="shared" si="50"/>
        <v>1340.24</v>
      </c>
      <c r="N351" s="30">
        <f t="shared" si="50"/>
        <v>7574570.9399999995</v>
      </c>
      <c r="O351" s="30">
        <f t="shared" si="50"/>
        <v>0</v>
      </c>
      <c r="P351" s="30">
        <f t="shared" si="50"/>
        <v>0</v>
      </c>
      <c r="Q351" s="30">
        <f t="shared" si="50"/>
        <v>0</v>
      </c>
      <c r="R351" s="30">
        <f t="shared" si="50"/>
        <v>0</v>
      </c>
      <c r="S351" s="30">
        <f t="shared" si="50"/>
        <v>0</v>
      </c>
      <c r="T351" s="30">
        <f t="shared" si="50"/>
        <v>0</v>
      </c>
      <c r="U351" s="30">
        <f t="shared" si="50"/>
        <v>0</v>
      </c>
      <c r="V351" s="30">
        <f t="shared" si="50"/>
        <v>0</v>
      </c>
      <c r="W351" s="30">
        <f t="shared" si="50"/>
        <v>0</v>
      </c>
      <c r="X351" s="30">
        <f t="shared" si="50"/>
        <v>0</v>
      </c>
      <c r="Y351" s="30">
        <f t="shared" si="50"/>
        <v>0</v>
      </c>
      <c r="Z351" s="30">
        <f t="shared" si="50"/>
        <v>0</v>
      </c>
      <c r="AA351" s="30">
        <f t="shared" si="50"/>
        <v>0</v>
      </c>
      <c r="AB351" s="30">
        <f t="shared" si="50"/>
        <v>0</v>
      </c>
      <c r="AC351" s="30">
        <f t="shared" si="50"/>
        <v>113618.57</v>
      </c>
      <c r="AD351" s="30">
        <f t="shared" si="50"/>
        <v>150000.46</v>
      </c>
      <c r="AE351" s="30">
        <f t="shared" si="50"/>
        <v>0</v>
      </c>
      <c r="AF351" s="72" t="s">
        <v>776</v>
      </c>
      <c r="AG351" s="72" t="s">
        <v>776</v>
      </c>
      <c r="AH351" s="89" t="s">
        <v>776</v>
      </c>
      <c r="AT351" s="20" t="e">
        <f>VLOOKUP(C351,AW:AX,2,FALSE)</f>
        <v>#N/A</v>
      </c>
      <c r="BZ351" s="71">
        <v>7838189.9699999997</v>
      </c>
      <c r="CB351" s="71">
        <f>BZ351-D351</f>
        <v>0</v>
      </c>
      <c r="CD351" s="20" t="e">
        <f t="shared" si="48"/>
        <v>#N/A</v>
      </c>
    </row>
    <row r="352" spans="1:82" ht="61.5" x14ac:dyDescent="0.85">
      <c r="A352" s="20">
        <v>1</v>
      </c>
      <c r="B352" s="66">
        <f>SUBTOTAL(103,$A$22:A352)</f>
        <v>313</v>
      </c>
      <c r="C352" s="25" t="s">
        <v>0</v>
      </c>
      <c r="D352" s="31">
        <f>E352+F352+G352+H352+I352+J352+L352+N352+P352+R352+T352+U352+V352+W352+X352+Y352+Z352+AA352+AB352+AC352+AD352+AE352</f>
        <v>3718130.24</v>
      </c>
      <c r="E352" s="31">
        <v>0</v>
      </c>
      <c r="F352" s="31">
        <v>0</v>
      </c>
      <c r="G352" s="31">
        <v>0</v>
      </c>
      <c r="H352" s="31">
        <v>0</v>
      </c>
      <c r="I352" s="31">
        <v>0</v>
      </c>
      <c r="J352" s="31">
        <v>0</v>
      </c>
      <c r="K352" s="33">
        <v>0</v>
      </c>
      <c r="L352" s="31">
        <v>0</v>
      </c>
      <c r="M352" s="31">
        <v>618.1</v>
      </c>
      <c r="N352" s="31">
        <f>3207009.55+456172.95</f>
        <v>3663182.5</v>
      </c>
      <c r="O352" s="31">
        <v>0</v>
      </c>
      <c r="P352" s="31">
        <v>0</v>
      </c>
      <c r="Q352" s="31">
        <v>0</v>
      </c>
      <c r="R352" s="31">
        <v>0</v>
      </c>
      <c r="S352" s="31">
        <v>0</v>
      </c>
      <c r="T352" s="31">
        <v>0</v>
      </c>
      <c r="U352" s="31">
        <v>0</v>
      </c>
      <c r="V352" s="31">
        <v>0</v>
      </c>
      <c r="W352" s="31">
        <v>0</v>
      </c>
      <c r="X352" s="31">
        <v>0</v>
      </c>
      <c r="Y352" s="31">
        <v>0</v>
      </c>
      <c r="Z352" s="31">
        <v>0</v>
      </c>
      <c r="AA352" s="31">
        <v>0</v>
      </c>
      <c r="AB352" s="31">
        <v>0</v>
      </c>
      <c r="AC352" s="31">
        <f>ROUND(N352*1.5%,2)</f>
        <v>54947.74</v>
      </c>
      <c r="AD352" s="31">
        <v>0</v>
      </c>
      <c r="AE352" s="31">
        <v>0</v>
      </c>
      <c r="AF352" s="34" t="s">
        <v>274</v>
      </c>
      <c r="AG352" s="34">
        <v>2020</v>
      </c>
      <c r="AH352" s="35">
        <v>2020</v>
      </c>
      <c r="AT352" s="20" t="e">
        <f>VLOOKUP(C352,AW:AX,2,FALSE)</f>
        <v>#N/A</v>
      </c>
      <c r="BZ352" s="71"/>
      <c r="CD352" s="20">
        <f t="shared" si="48"/>
        <v>618.1</v>
      </c>
    </row>
    <row r="353" spans="1:82" ht="61.5" x14ac:dyDescent="0.85">
      <c r="A353" s="20">
        <v>1</v>
      </c>
      <c r="B353" s="66">
        <f>SUBTOTAL(103,$A$22:A353)</f>
        <v>314</v>
      </c>
      <c r="C353" s="24" t="s">
        <v>5</v>
      </c>
      <c r="D353" s="31">
        <f>E353+F353+G353+H353+I353+J353+L353+N353+P353+R353+T353+U353+V353+W353+X353+Y353+Z353+AA353+AB353+AC353+AD353+AE353</f>
        <v>4120059.7299999995</v>
      </c>
      <c r="E353" s="31">
        <v>0</v>
      </c>
      <c r="F353" s="31">
        <v>0</v>
      </c>
      <c r="G353" s="31">
        <v>0</v>
      </c>
      <c r="H353" s="31">
        <v>0</v>
      </c>
      <c r="I353" s="31">
        <v>0</v>
      </c>
      <c r="J353" s="31">
        <v>0</v>
      </c>
      <c r="K353" s="33">
        <v>0</v>
      </c>
      <c r="L353" s="31">
        <v>0</v>
      </c>
      <c r="M353" s="31">
        <v>722.14</v>
      </c>
      <c r="N353" s="31">
        <f>3127494.34+147783.25+128832.61+507278.24</f>
        <v>3911388.4399999995</v>
      </c>
      <c r="O353" s="31">
        <v>0</v>
      </c>
      <c r="P353" s="31">
        <v>0</v>
      </c>
      <c r="Q353" s="31">
        <v>0</v>
      </c>
      <c r="R353" s="31">
        <v>0</v>
      </c>
      <c r="S353" s="31">
        <v>0</v>
      </c>
      <c r="T353" s="31">
        <v>0</v>
      </c>
      <c r="U353" s="31">
        <v>0</v>
      </c>
      <c r="V353" s="31">
        <v>0</v>
      </c>
      <c r="W353" s="31">
        <v>0</v>
      </c>
      <c r="X353" s="31">
        <v>0</v>
      </c>
      <c r="Y353" s="31">
        <v>0</v>
      </c>
      <c r="Z353" s="31">
        <v>0</v>
      </c>
      <c r="AA353" s="31">
        <v>0</v>
      </c>
      <c r="AB353" s="31">
        <v>0</v>
      </c>
      <c r="AC353" s="31">
        <f>ROUND(N353*1.5%,2)</f>
        <v>58670.83</v>
      </c>
      <c r="AD353" s="31">
        <f>150000+0.46</f>
        <v>150000.46</v>
      </c>
      <c r="AE353" s="31">
        <v>0</v>
      </c>
      <c r="AF353" s="34">
        <v>2020</v>
      </c>
      <c r="AG353" s="34">
        <v>2020</v>
      </c>
      <c r="AH353" s="35">
        <v>2020</v>
      </c>
      <c r="AT353" s="20" t="e">
        <f>VLOOKUP(C353,AW:AX,2,FALSE)</f>
        <v>#N/A</v>
      </c>
      <c r="BZ353" s="71"/>
      <c r="CD353" s="20">
        <f t="shared" si="48"/>
        <v>722.14</v>
      </c>
    </row>
    <row r="354" spans="1:82" ht="61.5" x14ac:dyDescent="0.85">
      <c r="B354" s="24" t="s">
        <v>853</v>
      </c>
      <c r="C354" s="166"/>
      <c r="D354" s="31">
        <f>SUM(D355:D357)</f>
        <v>8690043.9199999999</v>
      </c>
      <c r="E354" s="31">
        <f t="shared" ref="E354:AE354" si="51">SUM(E355:E357)</f>
        <v>0</v>
      </c>
      <c r="F354" s="31">
        <f t="shared" si="51"/>
        <v>0</v>
      </c>
      <c r="G354" s="31">
        <f t="shared" si="51"/>
        <v>6633381.8200000003</v>
      </c>
      <c r="H354" s="31">
        <f t="shared" si="51"/>
        <v>0</v>
      </c>
      <c r="I354" s="31">
        <f t="shared" si="51"/>
        <v>0</v>
      </c>
      <c r="J354" s="31">
        <f t="shared" si="51"/>
        <v>0</v>
      </c>
      <c r="K354" s="33">
        <f t="shared" si="51"/>
        <v>0</v>
      </c>
      <c r="L354" s="31">
        <f t="shared" si="51"/>
        <v>0</v>
      </c>
      <c r="M354" s="31">
        <f t="shared" si="51"/>
        <v>430.15</v>
      </c>
      <c r="N354" s="31">
        <f t="shared" si="51"/>
        <v>1807110.74</v>
      </c>
      <c r="O354" s="31">
        <f t="shared" si="51"/>
        <v>0</v>
      </c>
      <c r="P354" s="31">
        <f t="shared" si="51"/>
        <v>0</v>
      </c>
      <c r="Q354" s="31">
        <f t="shared" si="51"/>
        <v>0</v>
      </c>
      <c r="R354" s="31">
        <f t="shared" si="51"/>
        <v>0</v>
      </c>
      <c r="S354" s="31">
        <f t="shared" si="51"/>
        <v>0</v>
      </c>
      <c r="T354" s="31">
        <f t="shared" si="51"/>
        <v>0</v>
      </c>
      <c r="U354" s="31">
        <f t="shared" si="51"/>
        <v>0</v>
      </c>
      <c r="V354" s="31">
        <f t="shared" si="51"/>
        <v>0</v>
      </c>
      <c r="W354" s="31">
        <f t="shared" si="51"/>
        <v>0</v>
      </c>
      <c r="X354" s="31">
        <f t="shared" si="51"/>
        <v>0</v>
      </c>
      <c r="Y354" s="31">
        <f t="shared" si="51"/>
        <v>0</v>
      </c>
      <c r="Z354" s="31">
        <f t="shared" si="51"/>
        <v>0</v>
      </c>
      <c r="AA354" s="31">
        <f t="shared" si="51"/>
        <v>0</v>
      </c>
      <c r="AB354" s="31">
        <f t="shared" si="51"/>
        <v>0</v>
      </c>
      <c r="AC354" s="31">
        <f t="shared" si="51"/>
        <v>126607.39</v>
      </c>
      <c r="AD354" s="31">
        <f t="shared" si="51"/>
        <v>122943.97</v>
      </c>
      <c r="AE354" s="31">
        <f t="shared" si="51"/>
        <v>0</v>
      </c>
      <c r="AF354" s="72" t="s">
        <v>776</v>
      </c>
      <c r="AG354" s="72" t="s">
        <v>776</v>
      </c>
      <c r="AH354" s="89" t="s">
        <v>776</v>
      </c>
      <c r="AT354" s="20" t="e">
        <f>VLOOKUP(C354,AW:AX,2,FALSE)</f>
        <v>#N/A</v>
      </c>
      <c r="BZ354" s="71">
        <v>11111629.25</v>
      </c>
      <c r="CB354" s="71">
        <f>BZ354-D354</f>
        <v>2421585.33</v>
      </c>
      <c r="CD354" s="20" t="e">
        <f t="shared" si="48"/>
        <v>#N/A</v>
      </c>
    </row>
    <row r="355" spans="1:82" ht="61.5" x14ac:dyDescent="0.85">
      <c r="A355" s="20">
        <v>1</v>
      </c>
      <c r="B355" s="66">
        <f>SUBTOTAL(103,$A$22:A355)</f>
        <v>315</v>
      </c>
      <c r="C355" s="24" t="s">
        <v>716</v>
      </c>
      <c r="D355" s="31">
        <f>E355+F355+G355+H355+I355+J355+L355+N355+P355+R355+T355+U355+V355+W355+X355+Y355+Z355+AA355+AB355+AC355+AD355+AE355</f>
        <v>57509.34</v>
      </c>
      <c r="E355" s="31">
        <v>0</v>
      </c>
      <c r="F355" s="31">
        <v>0</v>
      </c>
      <c r="G355" s="31">
        <v>0</v>
      </c>
      <c r="H355" s="31">
        <v>0</v>
      </c>
      <c r="I355" s="31">
        <v>0</v>
      </c>
      <c r="J355" s="31">
        <v>0</v>
      </c>
      <c r="K355" s="33">
        <v>0</v>
      </c>
      <c r="L355" s="31">
        <v>0</v>
      </c>
      <c r="M355" s="31">
        <v>0</v>
      </c>
      <c r="N355" s="31">
        <v>0</v>
      </c>
      <c r="O355" s="31">
        <v>0</v>
      </c>
      <c r="P355" s="31">
        <v>0</v>
      </c>
      <c r="Q355" s="31">
        <v>0</v>
      </c>
      <c r="R355" s="31">
        <v>0</v>
      </c>
      <c r="S355" s="31">
        <v>0</v>
      </c>
      <c r="T355" s="31">
        <v>0</v>
      </c>
      <c r="U355" s="31">
        <v>0</v>
      </c>
      <c r="V355" s="31">
        <v>0</v>
      </c>
      <c r="W355" s="31">
        <v>0</v>
      </c>
      <c r="X355" s="31">
        <v>0</v>
      </c>
      <c r="Y355" s="31">
        <v>0</v>
      </c>
      <c r="Z355" s="31">
        <v>0</v>
      </c>
      <c r="AA355" s="31">
        <v>0</v>
      </c>
      <c r="AB355" s="31">
        <v>0</v>
      </c>
      <c r="AC355" s="31">
        <f>ROUND(N355*1.5%,2)</f>
        <v>0</v>
      </c>
      <c r="AD355" s="31">
        <v>57509.34</v>
      </c>
      <c r="AE355" s="31">
        <v>0</v>
      </c>
      <c r="AF355" s="34">
        <v>2020</v>
      </c>
      <c r="AG355" s="34" t="s">
        <v>274</v>
      </c>
      <c r="AH355" s="35" t="s">
        <v>274</v>
      </c>
      <c r="AT355" s="20" t="e">
        <f>VLOOKUP(C355,AW:AX,2,FALSE)</f>
        <v>#N/A</v>
      </c>
      <c r="BZ355" s="71"/>
      <c r="CD355" s="20" t="e">
        <f t="shared" si="48"/>
        <v>#N/A</v>
      </c>
    </row>
    <row r="356" spans="1:82" ht="61.5" x14ac:dyDescent="0.85">
      <c r="A356" s="20">
        <v>1</v>
      </c>
      <c r="B356" s="66">
        <f>SUBTOTAL(103,$A$22:A356)</f>
        <v>316</v>
      </c>
      <c r="C356" s="24" t="s">
        <v>1250</v>
      </c>
      <c r="D356" s="31">
        <f>E356+F356+G356+H356+I356+J356+L356+N356+P356+R356+T356+U356+V356+W356+X356+Y356+Z356+AA356+AB356+AC356+AD356+AE356</f>
        <v>6732882.5500000007</v>
      </c>
      <c r="E356" s="38">
        <v>0</v>
      </c>
      <c r="F356" s="38">
        <v>0</v>
      </c>
      <c r="G356" s="31">
        <v>6633381.8200000003</v>
      </c>
      <c r="H356" s="38">
        <v>0</v>
      </c>
      <c r="I356" s="38">
        <v>0</v>
      </c>
      <c r="J356" s="38">
        <v>0</v>
      </c>
      <c r="K356" s="33">
        <v>0</v>
      </c>
      <c r="L356" s="31">
        <v>0</v>
      </c>
      <c r="M356" s="31">
        <v>0</v>
      </c>
      <c r="N356" s="31">
        <v>0</v>
      </c>
      <c r="O356" s="38">
        <v>0</v>
      </c>
      <c r="P356" s="38">
        <v>0</v>
      </c>
      <c r="Q356" s="31">
        <v>0</v>
      </c>
      <c r="R356" s="31">
        <v>0</v>
      </c>
      <c r="S356" s="31">
        <v>0</v>
      </c>
      <c r="T356" s="31">
        <v>0</v>
      </c>
      <c r="U356" s="31">
        <v>0</v>
      </c>
      <c r="V356" s="31">
        <v>0</v>
      </c>
      <c r="W356" s="31">
        <v>0</v>
      </c>
      <c r="X356" s="31">
        <v>0</v>
      </c>
      <c r="Y356" s="31">
        <v>0</v>
      </c>
      <c r="Z356" s="31">
        <v>0</v>
      </c>
      <c r="AA356" s="31">
        <v>0</v>
      </c>
      <c r="AB356" s="31">
        <v>0</v>
      </c>
      <c r="AC356" s="31">
        <f>ROUND((E356+F356+G356+H356+I356+J356)*1.5%,2)</f>
        <v>99500.73</v>
      </c>
      <c r="AD356" s="31">
        <v>0</v>
      </c>
      <c r="AE356" s="31">
        <v>0</v>
      </c>
      <c r="AF356" s="34" t="s">
        <v>274</v>
      </c>
      <c r="AG356" s="34">
        <v>2020</v>
      </c>
      <c r="AH356" s="35">
        <v>2020</v>
      </c>
      <c r="BZ356" s="71"/>
      <c r="CD356" s="20" t="e">
        <f t="shared" si="48"/>
        <v>#N/A</v>
      </c>
    </row>
    <row r="357" spans="1:82" ht="61.5" x14ac:dyDescent="0.85">
      <c r="A357" s="20">
        <v>1</v>
      </c>
      <c r="B357" s="66">
        <f>SUBTOTAL(103,$A$22:A357)</f>
        <v>317</v>
      </c>
      <c r="C357" s="24" t="s">
        <v>1622</v>
      </c>
      <c r="D357" s="31">
        <f>E357+F357+G357+H357+I357+J357+L357+N357+P357+R357+T357+U357+V357+W357+X357+Y357+Z357+AA357+AB357+AC357+AD357+AE357</f>
        <v>1899652.0299999998</v>
      </c>
      <c r="E357" s="38">
        <v>0</v>
      </c>
      <c r="F357" s="38">
        <v>0</v>
      </c>
      <c r="G357" s="31">
        <v>0</v>
      </c>
      <c r="H357" s="38">
        <v>0</v>
      </c>
      <c r="I357" s="38">
        <v>0</v>
      </c>
      <c r="J357" s="38">
        <v>0</v>
      </c>
      <c r="K357" s="33">
        <v>0</v>
      </c>
      <c r="L357" s="31">
        <v>0</v>
      </c>
      <c r="M357" s="31">
        <v>430.15</v>
      </c>
      <c r="N357" s="31">
        <v>1807110.74</v>
      </c>
      <c r="O357" s="38">
        <v>0</v>
      </c>
      <c r="P357" s="38">
        <v>0</v>
      </c>
      <c r="Q357" s="31">
        <v>0</v>
      </c>
      <c r="R357" s="31">
        <v>0</v>
      </c>
      <c r="S357" s="31">
        <v>0</v>
      </c>
      <c r="T357" s="31">
        <v>0</v>
      </c>
      <c r="U357" s="31">
        <v>0</v>
      </c>
      <c r="V357" s="31">
        <v>0</v>
      </c>
      <c r="W357" s="31">
        <v>0</v>
      </c>
      <c r="X357" s="31">
        <v>0</v>
      </c>
      <c r="Y357" s="31">
        <v>0</v>
      </c>
      <c r="Z357" s="31">
        <v>0</v>
      </c>
      <c r="AA357" s="31">
        <v>0</v>
      </c>
      <c r="AB357" s="31">
        <v>0</v>
      </c>
      <c r="AC357" s="31">
        <f>ROUND(N357*1.5%,2)</f>
        <v>27106.66</v>
      </c>
      <c r="AD357" s="31">
        <v>65434.63</v>
      </c>
      <c r="AE357" s="31">
        <v>0</v>
      </c>
      <c r="AF357" s="34">
        <v>2020</v>
      </c>
      <c r="AG357" s="34">
        <v>2020</v>
      </c>
      <c r="AH357" s="35">
        <v>2020</v>
      </c>
      <c r="BZ357" s="71"/>
      <c r="CD357" s="20" t="e">
        <f t="shared" si="48"/>
        <v>#N/A</v>
      </c>
    </row>
    <row r="358" spans="1:82" ht="61.5" x14ac:dyDescent="0.85">
      <c r="B358" s="24" t="s">
        <v>854</v>
      </c>
      <c r="C358" s="24"/>
      <c r="D358" s="31">
        <f>SUM(D359:D361)</f>
        <v>12110136.890000001</v>
      </c>
      <c r="E358" s="31">
        <f t="shared" ref="E358:AE358" si="52">SUM(E359:E361)</f>
        <v>0</v>
      </c>
      <c r="F358" s="31">
        <f t="shared" si="52"/>
        <v>0</v>
      </c>
      <c r="G358" s="31">
        <f t="shared" si="52"/>
        <v>3886396.2300000004</v>
      </c>
      <c r="H358" s="31">
        <f t="shared" si="52"/>
        <v>545432.23</v>
      </c>
      <c r="I358" s="31">
        <f t="shared" si="52"/>
        <v>0</v>
      </c>
      <c r="J358" s="31">
        <f t="shared" si="52"/>
        <v>0</v>
      </c>
      <c r="K358" s="33">
        <f t="shared" si="52"/>
        <v>0</v>
      </c>
      <c r="L358" s="31">
        <f t="shared" si="52"/>
        <v>0</v>
      </c>
      <c r="M358" s="31">
        <f t="shared" si="52"/>
        <v>2003.8</v>
      </c>
      <c r="N358" s="31">
        <f t="shared" si="52"/>
        <v>7386266.3000000007</v>
      </c>
      <c r="O358" s="31">
        <f t="shared" si="52"/>
        <v>0</v>
      </c>
      <c r="P358" s="31">
        <f t="shared" si="52"/>
        <v>0</v>
      </c>
      <c r="Q358" s="31">
        <f t="shared" si="52"/>
        <v>0</v>
      </c>
      <c r="R358" s="31">
        <f t="shared" si="52"/>
        <v>0</v>
      </c>
      <c r="S358" s="31">
        <f t="shared" si="52"/>
        <v>0</v>
      </c>
      <c r="T358" s="31">
        <f t="shared" si="52"/>
        <v>0</v>
      </c>
      <c r="U358" s="31">
        <f t="shared" si="52"/>
        <v>0</v>
      </c>
      <c r="V358" s="31">
        <f t="shared" si="52"/>
        <v>0</v>
      </c>
      <c r="W358" s="31">
        <f t="shared" si="52"/>
        <v>0</v>
      </c>
      <c r="X358" s="31">
        <f t="shared" si="52"/>
        <v>0</v>
      </c>
      <c r="Y358" s="31">
        <f t="shared" si="52"/>
        <v>0</v>
      </c>
      <c r="Z358" s="31">
        <f t="shared" si="52"/>
        <v>0</v>
      </c>
      <c r="AA358" s="31">
        <f t="shared" si="52"/>
        <v>0</v>
      </c>
      <c r="AB358" s="31">
        <f t="shared" si="52"/>
        <v>0</v>
      </c>
      <c r="AC358" s="31">
        <f t="shared" si="52"/>
        <v>177271.43</v>
      </c>
      <c r="AD358" s="31">
        <f t="shared" si="52"/>
        <v>114770.7</v>
      </c>
      <c r="AE358" s="31">
        <f t="shared" si="52"/>
        <v>0</v>
      </c>
      <c r="AF358" s="72" t="s">
        <v>776</v>
      </c>
      <c r="AG358" s="72" t="s">
        <v>776</v>
      </c>
      <c r="AH358" s="89" t="s">
        <v>776</v>
      </c>
      <c r="AT358" s="20" t="e">
        <f>VLOOKUP(C358,AW:AX,2,FALSE)</f>
        <v>#N/A</v>
      </c>
      <c r="BZ358" s="71">
        <v>12137858.549999999</v>
      </c>
      <c r="CB358" s="71">
        <f>BZ358-D358</f>
        <v>27721.659999998286</v>
      </c>
      <c r="CD358" s="20" t="e">
        <f t="shared" si="48"/>
        <v>#N/A</v>
      </c>
    </row>
    <row r="359" spans="1:82" ht="61.5" x14ac:dyDescent="0.85">
      <c r="A359" s="20">
        <v>1</v>
      </c>
      <c r="B359" s="66">
        <f>SUBTOTAL(103,$A$22:A359)</f>
        <v>318</v>
      </c>
      <c r="C359" s="24" t="s">
        <v>722</v>
      </c>
      <c r="D359" s="31">
        <f>E359+F359+G359+H359+I359+J359+L359+N359+P359+R359+T359+U359+V359+W359+X359+Y359+Z359+AA359+AB359+AC359+AD359+AE359</f>
        <v>3971480.2600000002</v>
      </c>
      <c r="E359" s="31">
        <v>0</v>
      </c>
      <c r="F359" s="31">
        <v>0</v>
      </c>
      <c r="G359" s="31">
        <v>0</v>
      </c>
      <c r="H359" s="31">
        <v>0</v>
      </c>
      <c r="I359" s="31">
        <v>0</v>
      </c>
      <c r="J359" s="31">
        <v>0</v>
      </c>
      <c r="K359" s="33">
        <v>0</v>
      </c>
      <c r="L359" s="31">
        <v>0</v>
      </c>
      <c r="M359" s="31">
        <v>1241</v>
      </c>
      <c r="N359" s="31">
        <f>3798474.64+1239.21</f>
        <v>3799713.85</v>
      </c>
      <c r="O359" s="31">
        <v>0</v>
      </c>
      <c r="P359" s="31">
        <v>0</v>
      </c>
      <c r="Q359" s="31">
        <v>0</v>
      </c>
      <c r="R359" s="31">
        <v>0</v>
      </c>
      <c r="S359" s="31">
        <v>0</v>
      </c>
      <c r="T359" s="31">
        <v>0</v>
      </c>
      <c r="U359" s="31">
        <v>0</v>
      </c>
      <c r="V359" s="31">
        <v>0</v>
      </c>
      <c r="W359" s="31">
        <v>0</v>
      </c>
      <c r="X359" s="31">
        <v>0</v>
      </c>
      <c r="Y359" s="31">
        <v>0</v>
      </c>
      <c r="Z359" s="31">
        <v>0</v>
      </c>
      <c r="AA359" s="31">
        <v>0</v>
      </c>
      <c r="AB359" s="31">
        <v>0</v>
      </c>
      <c r="AC359" s="31">
        <f>ROUND(N359*1.5%,2)</f>
        <v>56995.71</v>
      </c>
      <c r="AD359" s="31">
        <v>114770.7</v>
      </c>
      <c r="AE359" s="31">
        <v>0</v>
      </c>
      <c r="AF359" s="34">
        <v>2020</v>
      </c>
      <c r="AG359" s="34">
        <v>2020</v>
      </c>
      <c r="AH359" s="35">
        <v>2020</v>
      </c>
      <c r="AT359" s="20" t="e">
        <f>VLOOKUP(C359,AW:AX,2,FALSE)</f>
        <v>#N/A</v>
      </c>
      <c r="BZ359" s="71"/>
      <c r="CD359" s="20" t="e">
        <f t="shared" si="48"/>
        <v>#N/A</v>
      </c>
    </row>
    <row r="360" spans="1:82" ht="61.5" x14ac:dyDescent="0.85">
      <c r="A360" s="20">
        <v>1</v>
      </c>
      <c r="B360" s="66">
        <f>SUBTOTAL(103,$A$22:A360)</f>
        <v>319</v>
      </c>
      <c r="C360" s="24" t="s">
        <v>1251</v>
      </c>
      <c r="D360" s="31">
        <f>E360+F360+G360+H360+I360+J360+L360+N360+P360+R360+T360+U360+V360+W360+X360+Y360+Z360+AA360+AB360+AC360+AD360+AE360</f>
        <v>4498305.8900000006</v>
      </c>
      <c r="E360" s="31">
        <v>0</v>
      </c>
      <c r="F360" s="31">
        <v>0</v>
      </c>
      <c r="G360" s="31">
        <f>1758166.01+2128230.22</f>
        <v>3886396.2300000004</v>
      </c>
      <c r="H360" s="31">
        <v>545432.23</v>
      </c>
      <c r="I360" s="31">
        <v>0</v>
      </c>
      <c r="J360" s="31">
        <v>0</v>
      </c>
      <c r="K360" s="33">
        <v>0</v>
      </c>
      <c r="L360" s="31">
        <v>0</v>
      </c>
      <c r="M360" s="31">
        <v>0</v>
      </c>
      <c r="N360" s="31">
        <v>0</v>
      </c>
      <c r="O360" s="31">
        <v>0</v>
      </c>
      <c r="P360" s="31">
        <v>0</v>
      </c>
      <c r="Q360" s="31">
        <v>0</v>
      </c>
      <c r="R360" s="31">
        <v>0</v>
      </c>
      <c r="S360" s="31">
        <v>0</v>
      </c>
      <c r="T360" s="31">
        <v>0</v>
      </c>
      <c r="U360" s="31">
        <v>0</v>
      </c>
      <c r="V360" s="31">
        <v>0</v>
      </c>
      <c r="W360" s="31">
        <v>0</v>
      </c>
      <c r="X360" s="31">
        <v>0</v>
      </c>
      <c r="Y360" s="31">
        <v>0</v>
      </c>
      <c r="Z360" s="31">
        <v>0</v>
      </c>
      <c r="AA360" s="31">
        <v>0</v>
      </c>
      <c r="AB360" s="31">
        <v>0</v>
      </c>
      <c r="AC360" s="31">
        <f>ROUND((E360+F360+G360+H360+I360+J360)*1.5%,2)</f>
        <v>66477.429999999993</v>
      </c>
      <c r="AD360" s="31">
        <v>0</v>
      </c>
      <c r="AE360" s="31">
        <v>0</v>
      </c>
      <c r="AF360" s="34" t="s">
        <v>274</v>
      </c>
      <c r="AG360" s="34">
        <v>2020</v>
      </c>
      <c r="AH360" s="35">
        <v>2020</v>
      </c>
      <c r="BZ360" s="71"/>
      <c r="CD360" s="20" t="e">
        <f t="shared" si="48"/>
        <v>#N/A</v>
      </c>
    </row>
    <row r="361" spans="1:82" ht="61.5" x14ac:dyDescent="0.85">
      <c r="A361" s="20">
        <v>1</v>
      </c>
      <c r="B361" s="66">
        <f>SUBTOTAL(103,$A$22:A361)</f>
        <v>320</v>
      </c>
      <c r="C361" s="24" t="s">
        <v>1605</v>
      </c>
      <c r="D361" s="31">
        <f>E361+F361+G361+H361+I361+J361+L361+N361+P361+R361+T361+U361+V361+W361+X361+Y361+Z361+AA361+AB361+AC361+AD361+AE361</f>
        <v>3640350.74</v>
      </c>
      <c r="E361" s="31">
        <v>0</v>
      </c>
      <c r="F361" s="31">
        <v>0</v>
      </c>
      <c r="G361" s="31">
        <v>0</v>
      </c>
      <c r="H361" s="31">
        <v>0</v>
      </c>
      <c r="I361" s="31">
        <v>0</v>
      </c>
      <c r="J361" s="31">
        <v>0</v>
      </c>
      <c r="K361" s="33">
        <v>0</v>
      </c>
      <c r="L361" s="31">
        <v>0</v>
      </c>
      <c r="M361" s="31">
        <v>762.8</v>
      </c>
      <c r="N361" s="31">
        <f>3130467.24+457645.51-1560.3</f>
        <v>3586552.45</v>
      </c>
      <c r="O361" s="31">
        <v>0</v>
      </c>
      <c r="P361" s="31">
        <v>0</v>
      </c>
      <c r="Q361" s="31">
        <v>0</v>
      </c>
      <c r="R361" s="31">
        <v>0</v>
      </c>
      <c r="S361" s="31">
        <v>0</v>
      </c>
      <c r="T361" s="31">
        <v>0</v>
      </c>
      <c r="U361" s="31">
        <v>0</v>
      </c>
      <c r="V361" s="31">
        <v>0</v>
      </c>
      <c r="W361" s="31">
        <v>0</v>
      </c>
      <c r="X361" s="31">
        <v>0</v>
      </c>
      <c r="Y361" s="31">
        <v>0</v>
      </c>
      <c r="Z361" s="31">
        <v>0</v>
      </c>
      <c r="AA361" s="31">
        <v>0</v>
      </c>
      <c r="AB361" s="31">
        <v>0</v>
      </c>
      <c r="AC361" s="31">
        <f>ROUND(N361*1.5%,2)</f>
        <v>53798.29</v>
      </c>
      <c r="AD361" s="31">
        <v>0</v>
      </c>
      <c r="AE361" s="31">
        <v>0</v>
      </c>
      <c r="AF361" s="34" t="s">
        <v>274</v>
      </c>
      <c r="AG361" s="34">
        <v>2020</v>
      </c>
      <c r="AH361" s="35">
        <v>2020</v>
      </c>
      <c r="BZ361" s="71"/>
      <c r="CD361" s="20">
        <f t="shared" si="48"/>
        <v>762.8</v>
      </c>
    </row>
    <row r="362" spans="1:82" ht="61.5" x14ac:dyDescent="0.85">
      <c r="B362" s="24" t="s">
        <v>855</v>
      </c>
      <c r="C362" s="24"/>
      <c r="D362" s="31">
        <f t="shared" ref="D362:AE362" si="53">D363</f>
        <v>5698132.5200000005</v>
      </c>
      <c r="E362" s="31">
        <f t="shared" si="53"/>
        <v>0</v>
      </c>
      <c r="F362" s="31">
        <f t="shared" si="53"/>
        <v>0</v>
      </c>
      <c r="G362" s="31">
        <f t="shared" si="53"/>
        <v>0</v>
      </c>
      <c r="H362" s="31">
        <f t="shared" si="53"/>
        <v>0</v>
      </c>
      <c r="I362" s="31">
        <f t="shared" si="53"/>
        <v>0</v>
      </c>
      <c r="J362" s="31">
        <f t="shared" si="53"/>
        <v>0</v>
      </c>
      <c r="K362" s="33">
        <f t="shared" si="53"/>
        <v>0</v>
      </c>
      <c r="L362" s="31">
        <f t="shared" si="53"/>
        <v>0</v>
      </c>
      <c r="M362" s="31">
        <f t="shared" si="53"/>
        <v>475</v>
      </c>
      <c r="N362" s="31">
        <f t="shared" si="53"/>
        <v>2323080.91</v>
      </c>
      <c r="O362" s="31">
        <f t="shared" si="53"/>
        <v>0</v>
      </c>
      <c r="P362" s="31">
        <f t="shared" si="53"/>
        <v>0</v>
      </c>
      <c r="Q362" s="31">
        <f t="shared" si="53"/>
        <v>605</v>
      </c>
      <c r="R362" s="31">
        <f t="shared" si="53"/>
        <v>3034685.12</v>
      </c>
      <c r="S362" s="31">
        <f t="shared" si="53"/>
        <v>0</v>
      </c>
      <c r="T362" s="31">
        <f t="shared" si="53"/>
        <v>0</v>
      </c>
      <c r="U362" s="31">
        <f t="shared" si="53"/>
        <v>0</v>
      </c>
      <c r="V362" s="31">
        <f t="shared" si="53"/>
        <v>0</v>
      </c>
      <c r="W362" s="31">
        <f t="shared" si="53"/>
        <v>0</v>
      </c>
      <c r="X362" s="31">
        <f t="shared" si="53"/>
        <v>0</v>
      </c>
      <c r="Y362" s="31">
        <f t="shared" si="53"/>
        <v>0</v>
      </c>
      <c r="Z362" s="31">
        <f t="shared" si="53"/>
        <v>0</v>
      </c>
      <c r="AA362" s="31">
        <f t="shared" si="53"/>
        <v>0</v>
      </c>
      <c r="AB362" s="31">
        <f t="shared" si="53"/>
        <v>0</v>
      </c>
      <c r="AC362" s="31">
        <f t="shared" si="53"/>
        <v>80366.490000000005</v>
      </c>
      <c r="AD362" s="31">
        <f t="shared" si="53"/>
        <v>260000</v>
      </c>
      <c r="AE362" s="31">
        <f t="shared" si="53"/>
        <v>0</v>
      </c>
      <c r="AF362" s="72" t="s">
        <v>776</v>
      </c>
      <c r="AG362" s="72" t="s">
        <v>776</v>
      </c>
      <c r="AH362" s="89" t="s">
        <v>776</v>
      </c>
      <c r="AT362" s="20" t="e">
        <f t="shared" ref="AT362:AT371" si="54">VLOOKUP(C362,AW:AX,2,FALSE)</f>
        <v>#N/A</v>
      </c>
      <c r="BZ362" s="71">
        <v>5698132.5200000005</v>
      </c>
      <c r="CD362" s="20" t="e">
        <f t="shared" si="48"/>
        <v>#N/A</v>
      </c>
    </row>
    <row r="363" spans="1:82" ht="61.5" x14ac:dyDescent="0.85">
      <c r="A363" s="20">
        <v>1</v>
      </c>
      <c r="B363" s="66">
        <f>SUBTOTAL(103,$A$22:A363)</f>
        <v>321</v>
      </c>
      <c r="C363" s="24" t="s">
        <v>820</v>
      </c>
      <c r="D363" s="31">
        <f>E363+F363+G363+H363+I363+J363+L363+N363+P363+R363+T363+U363+V363+W363+X363+Y363+Z363+AA363+AB363+AC363+AD363+AE363</f>
        <v>5698132.5200000005</v>
      </c>
      <c r="E363" s="31">
        <v>0</v>
      </c>
      <c r="F363" s="31">
        <v>0</v>
      </c>
      <c r="G363" s="31">
        <v>0</v>
      </c>
      <c r="H363" s="31">
        <v>0</v>
      </c>
      <c r="I363" s="31">
        <v>0</v>
      </c>
      <c r="J363" s="31">
        <v>0</v>
      </c>
      <c r="K363" s="33">
        <v>0</v>
      </c>
      <c r="L363" s="31">
        <v>0</v>
      </c>
      <c r="M363" s="31">
        <v>475</v>
      </c>
      <c r="N363" s="31">
        <v>2323080.91</v>
      </c>
      <c r="O363" s="31">
        <v>0</v>
      </c>
      <c r="P363" s="31">
        <v>0</v>
      </c>
      <c r="Q363" s="31">
        <v>605</v>
      </c>
      <c r="R363" s="31">
        <v>3034685.12</v>
      </c>
      <c r="S363" s="31">
        <v>0</v>
      </c>
      <c r="T363" s="31">
        <v>0</v>
      </c>
      <c r="U363" s="31">
        <v>0</v>
      </c>
      <c r="V363" s="31">
        <v>0</v>
      </c>
      <c r="W363" s="31">
        <v>0</v>
      </c>
      <c r="X363" s="31">
        <v>0</v>
      </c>
      <c r="Y363" s="31">
        <v>0</v>
      </c>
      <c r="Z363" s="31">
        <v>0</v>
      </c>
      <c r="AA363" s="31">
        <v>0</v>
      </c>
      <c r="AB363" s="31">
        <v>0</v>
      </c>
      <c r="AC363" s="31">
        <f>ROUND((N363+R363)*1.5%,2)</f>
        <v>80366.490000000005</v>
      </c>
      <c r="AD363" s="31">
        <v>260000</v>
      </c>
      <c r="AE363" s="31">
        <v>0</v>
      </c>
      <c r="AF363" s="34">
        <v>2020</v>
      </c>
      <c r="AG363" s="34">
        <v>2020</v>
      </c>
      <c r="AH363" s="35">
        <v>2020</v>
      </c>
      <c r="AT363" s="20" t="e">
        <f t="shared" si="54"/>
        <v>#N/A</v>
      </c>
      <c r="BZ363" s="71"/>
      <c r="CD363" s="20" t="e">
        <f t="shared" si="48"/>
        <v>#N/A</v>
      </c>
    </row>
    <row r="364" spans="1:82" ht="61.5" x14ac:dyDescent="0.85">
      <c r="B364" s="24" t="s">
        <v>856</v>
      </c>
      <c r="C364" s="166"/>
      <c r="D364" s="31">
        <f>SUM(D365:D379)</f>
        <v>56051993.530000001</v>
      </c>
      <c r="E364" s="31">
        <f t="shared" ref="E364:AE364" si="55">SUM(E365:E379)</f>
        <v>667046.89</v>
      </c>
      <c r="F364" s="31">
        <f t="shared" si="55"/>
        <v>0</v>
      </c>
      <c r="G364" s="31">
        <f t="shared" si="55"/>
        <v>2484036.34</v>
      </c>
      <c r="H364" s="31">
        <f t="shared" si="55"/>
        <v>702794</v>
      </c>
      <c r="I364" s="31">
        <f t="shared" si="55"/>
        <v>0</v>
      </c>
      <c r="J364" s="31">
        <f t="shared" si="55"/>
        <v>0</v>
      </c>
      <c r="K364" s="33">
        <f t="shared" si="55"/>
        <v>0</v>
      </c>
      <c r="L364" s="31">
        <f t="shared" si="55"/>
        <v>0</v>
      </c>
      <c r="M364" s="31">
        <f t="shared" si="55"/>
        <v>10661.6</v>
      </c>
      <c r="N364" s="31">
        <f t="shared" si="55"/>
        <v>45026062.949999996</v>
      </c>
      <c r="O364" s="31">
        <f t="shared" si="55"/>
        <v>0</v>
      </c>
      <c r="P364" s="31">
        <f t="shared" si="55"/>
        <v>0</v>
      </c>
      <c r="Q364" s="31">
        <f t="shared" si="55"/>
        <v>3424.15</v>
      </c>
      <c r="R364" s="31">
        <f t="shared" si="55"/>
        <v>5944683.9800000004</v>
      </c>
      <c r="S364" s="31">
        <f t="shared" si="55"/>
        <v>0</v>
      </c>
      <c r="T364" s="31">
        <f t="shared" si="55"/>
        <v>0</v>
      </c>
      <c r="U364" s="31">
        <f t="shared" si="55"/>
        <v>0</v>
      </c>
      <c r="V364" s="31">
        <f t="shared" si="55"/>
        <v>0</v>
      </c>
      <c r="W364" s="31">
        <f t="shared" si="55"/>
        <v>0</v>
      </c>
      <c r="X364" s="31">
        <f t="shared" si="55"/>
        <v>0</v>
      </c>
      <c r="Y364" s="31">
        <f t="shared" si="55"/>
        <v>0</v>
      </c>
      <c r="Z364" s="31">
        <f t="shared" si="55"/>
        <v>0</v>
      </c>
      <c r="AA364" s="31">
        <f t="shared" si="55"/>
        <v>0</v>
      </c>
      <c r="AB364" s="31">
        <f t="shared" si="55"/>
        <v>0</v>
      </c>
      <c r="AC364" s="31">
        <f t="shared" si="55"/>
        <v>822369.37</v>
      </c>
      <c r="AD364" s="31">
        <f t="shared" si="55"/>
        <v>405000</v>
      </c>
      <c r="AE364" s="31">
        <f t="shared" si="55"/>
        <v>0</v>
      </c>
      <c r="AF364" s="72" t="s">
        <v>776</v>
      </c>
      <c r="AG364" s="72" t="s">
        <v>776</v>
      </c>
      <c r="AH364" s="89" t="s">
        <v>776</v>
      </c>
      <c r="AT364" s="20" t="e">
        <f t="shared" si="54"/>
        <v>#N/A</v>
      </c>
      <c r="AV364" s="20">
        <v>20654065.649999999</v>
      </c>
      <c r="AW364" s="71">
        <f>AV364-D364</f>
        <v>-35397927.880000003</v>
      </c>
      <c r="BZ364" s="31">
        <v>56051993.530000009</v>
      </c>
      <c r="CA364" s="31"/>
      <c r="CB364" s="31">
        <f>BZ364-D364</f>
        <v>0</v>
      </c>
      <c r="CD364" s="20" t="e">
        <f t="shared" si="48"/>
        <v>#N/A</v>
      </c>
    </row>
    <row r="365" spans="1:82" ht="61.5" x14ac:dyDescent="0.85">
      <c r="A365" s="20">
        <v>1</v>
      </c>
      <c r="B365" s="66">
        <f>SUBTOTAL(103,$A$22:A365)</f>
        <v>322</v>
      </c>
      <c r="C365" s="24" t="s">
        <v>115</v>
      </c>
      <c r="D365" s="31">
        <f t="shared" ref="D365:D379" si="56">E365+F365+G365+H365+I365+J365+L365+N365+P365+R365+T365+U365+V365+W365+X365+Y365+Z365+AA365+AB365+AC365+AD365+AE365</f>
        <v>3250000</v>
      </c>
      <c r="E365" s="31">
        <v>0</v>
      </c>
      <c r="F365" s="31">
        <v>0</v>
      </c>
      <c r="G365" s="31">
        <v>0</v>
      </c>
      <c r="H365" s="31">
        <v>0</v>
      </c>
      <c r="I365" s="31">
        <v>0</v>
      </c>
      <c r="J365" s="31">
        <v>0</v>
      </c>
      <c r="K365" s="33">
        <v>0</v>
      </c>
      <c r="L365" s="31">
        <v>0</v>
      </c>
      <c r="M365" s="31">
        <v>665</v>
      </c>
      <c r="N365" s="31">
        <v>3128078.82</v>
      </c>
      <c r="O365" s="31">
        <v>0</v>
      </c>
      <c r="P365" s="31">
        <v>0</v>
      </c>
      <c r="Q365" s="31">
        <v>0</v>
      </c>
      <c r="R365" s="31">
        <v>0</v>
      </c>
      <c r="S365" s="31">
        <v>0</v>
      </c>
      <c r="T365" s="31">
        <v>0</v>
      </c>
      <c r="U365" s="31">
        <v>0</v>
      </c>
      <c r="V365" s="31">
        <v>0</v>
      </c>
      <c r="W365" s="31">
        <v>0</v>
      </c>
      <c r="X365" s="31">
        <v>0</v>
      </c>
      <c r="Y365" s="31">
        <v>0</v>
      </c>
      <c r="Z365" s="31">
        <v>0</v>
      </c>
      <c r="AA365" s="31">
        <v>0</v>
      </c>
      <c r="AB365" s="31">
        <v>0</v>
      </c>
      <c r="AC365" s="31">
        <f t="shared" ref="AC365:AC370" si="57">ROUND(N365*1.5%,2)</f>
        <v>46921.18</v>
      </c>
      <c r="AD365" s="31">
        <v>75000</v>
      </c>
      <c r="AE365" s="31">
        <v>0</v>
      </c>
      <c r="AF365" s="34">
        <v>2020</v>
      </c>
      <c r="AG365" s="34">
        <v>2020</v>
      </c>
      <c r="AH365" s="35">
        <v>2020</v>
      </c>
      <c r="AT365" s="20" t="e">
        <f t="shared" si="54"/>
        <v>#N/A</v>
      </c>
      <c r="BZ365" s="71"/>
      <c r="CD365" s="20" t="e">
        <f t="shared" si="48"/>
        <v>#N/A</v>
      </c>
    </row>
    <row r="366" spans="1:82" ht="61.5" x14ac:dyDescent="0.85">
      <c r="A366" s="20">
        <v>1</v>
      </c>
      <c r="B366" s="66">
        <f>SUBTOTAL(103,$A$22:A366)</f>
        <v>323</v>
      </c>
      <c r="C366" s="24" t="s">
        <v>118</v>
      </c>
      <c r="D366" s="31">
        <f t="shared" si="56"/>
        <v>3031500</v>
      </c>
      <c r="E366" s="31">
        <v>0</v>
      </c>
      <c r="F366" s="31">
        <v>0</v>
      </c>
      <c r="G366" s="31">
        <v>0</v>
      </c>
      <c r="H366" s="31">
        <v>0</v>
      </c>
      <c r="I366" s="31">
        <v>0</v>
      </c>
      <c r="J366" s="31">
        <v>0</v>
      </c>
      <c r="K366" s="33">
        <v>0</v>
      </c>
      <c r="L366" s="31">
        <v>0</v>
      </c>
      <c r="M366" s="31">
        <v>621.29999999999995</v>
      </c>
      <c r="N366" s="31">
        <v>2912807.88</v>
      </c>
      <c r="O366" s="31">
        <v>0</v>
      </c>
      <c r="P366" s="31">
        <v>0</v>
      </c>
      <c r="Q366" s="31">
        <v>0</v>
      </c>
      <c r="R366" s="31">
        <v>0</v>
      </c>
      <c r="S366" s="31">
        <v>0</v>
      </c>
      <c r="T366" s="31">
        <v>0</v>
      </c>
      <c r="U366" s="31">
        <v>0</v>
      </c>
      <c r="V366" s="31">
        <v>0</v>
      </c>
      <c r="W366" s="31">
        <v>0</v>
      </c>
      <c r="X366" s="31">
        <v>0</v>
      </c>
      <c r="Y366" s="31">
        <v>0</v>
      </c>
      <c r="Z366" s="31">
        <v>0</v>
      </c>
      <c r="AA366" s="31">
        <v>0</v>
      </c>
      <c r="AB366" s="31">
        <v>0</v>
      </c>
      <c r="AC366" s="31">
        <f t="shared" si="57"/>
        <v>43692.12</v>
      </c>
      <c r="AD366" s="31">
        <v>75000</v>
      </c>
      <c r="AE366" s="31">
        <v>0</v>
      </c>
      <c r="AF366" s="34">
        <v>2020</v>
      </c>
      <c r="AG366" s="34">
        <v>2020</v>
      </c>
      <c r="AH366" s="35">
        <v>2020</v>
      </c>
      <c r="AT366" s="20" t="e">
        <f t="shared" si="54"/>
        <v>#N/A</v>
      </c>
      <c r="BZ366" s="71"/>
      <c r="CD366" s="20" t="e">
        <f t="shared" si="48"/>
        <v>#N/A</v>
      </c>
    </row>
    <row r="367" spans="1:82" ht="61.5" x14ac:dyDescent="0.85">
      <c r="A367" s="20">
        <v>1</v>
      </c>
      <c r="B367" s="66">
        <f>SUBTOTAL(103,$A$22:A367)</f>
        <v>324</v>
      </c>
      <c r="C367" s="24" t="s">
        <v>114</v>
      </c>
      <c r="D367" s="31">
        <f t="shared" si="56"/>
        <v>1557500</v>
      </c>
      <c r="E367" s="31">
        <v>0</v>
      </c>
      <c r="F367" s="31">
        <v>0</v>
      </c>
      <c r="G367" s="31">
        <v>0</v>
      </c>
      <c r="H367" s="31">
        <v>0</v>
      </c>
      <c r="I367" s="31">
        <v>0</v>
      </c>
      <c r="J367" s="31">
        <v>0</v>
      </c>
      <c r="K367" s="33">
        <v>0</v>
      </c>
      <c r="L367" s="31">
        <v>0</v>
      </c>
      <c r="M367" s="31">
        <v>323.5</v>
      </c>
      <c r="N367" s="31">
        <v>1475369.46</v>
      </c>
      <c r="O367" s="31">
        <v>0</v>
      </c>
      <c r="P367" s="31">
        <v>0</v>
      </c>
      <c r="Q367" s="31">
        <v>0</v>
      </c>
      <c r="R367" s="31">
        <v>0</v>
      </c>
      <c r="S367" s="31">
        <v>0</v>
      </c>
      <c r="T367" s="31">
        <v>0</v>
      </c>
      <c r="U367" s="31">
        <v>0</v>
      </c>
      <c r="V367" s="31">
        <v>0</v>
      </c>
      <c r="W367" s="31">
        <v>0</v>
      </c>
      <c r="X367" s="31">
        <v>0</v>
      </c>
      <c r="Y367" s="31">
        <v>0</v>
      </c>
      <c r="Z367" s="31">
        <v>0</v>
      </c>
      <c r="AA367" s="31">
        <v>0</v>
      </c>
      <c r="AB367" s="31">
        <v>0</v>
      </c>
      <c r="AC367" s="31">
        <f t="shared" si="57"/>
        <v>22130.54</v>
      </c>
      <c r="AD367" s="31">
        <v>60000</v>
      </c>
      <c r="AE367" s="31">
        <v>0</v>
      </c>
      <c r="AF367" s="34">
        <v>2020</v>
      </c>
      <c r="AG367" s="34">
        <v>2020</v>
      </c>
      <c r="AH367" s="35">
        <v>2020</v>
      </c>
      <c r="AT367" s="20" t="e">
        <f t="shared" si="54"/>
        <v>#N/A</v>
      </c>
      <c r="BZ367" s="71"/>
      <c r="CD367" s="20" t="e">
        <f t="shared" si="48"/>
        <v>#N/A</v>
      </c>
    </row>
    <row r="368" spans="1:82" ht="61.5" x14ac:dyDescent="0.85">
      <c r="A368" s="20">
        <v>1</v>
      </c>
      <c r="B368" s="66">
        <f>SUBTOTAL(103,$A$22:A368)</f>
        <v>325</v>
      </c>
      <c r="C368" s="24" t="s">
        <v>116</v>
      </c>
      <c r="D368" s="31">
        <f t="shared" si="56"/>
        <v>5416920.4299999997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3">
        <v>0</v>
      </c>
      <c r="L368" s="31">
        <v>0</v>
      </c>
      <c r="M368" s="31">
        <v>1256.9000000000001</v>
      </c>
      <c r="N368" s="31">
        <v>5336867.42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f t="shared" si="57"/>
        <v>80053.009999999995</v>
      </c>
      <c r="AD368" s="31">
        <v>0</v>
      </c>
      <c r="AE368" s="31">
        <v>0</v>
      </c>
      <c r="AF368" s="34" t="s">
        <v>274</v>
      </c>
      <c r="AG368" s="34">
        <v>2020</v>
      </c>
      <c r="AH368" s="35">
        <v>2020</v>
      </c>
      <c r="AT368" s="20" t="e">
        <f t="shared" si="54"/>
        <v>#N/A</v>
      </c>
      <c r="BZ368" s="71"/>
      <c r="CD368" s="20">
        <f t="shared" si="48"/>
        <v>1256.9000000000001</v>
      </c>
    </row>
    <row r="369" spans="1:82" ht="61.5" x14ac:dyDescent="0.85">
      <c r="A369" s="20">
        <v>1</v>
      </c>
      <c r="B369" s="66">
        <f>SUBTOTAL(103,$A$22:A369)</f>
        <v>326</v>
      </c>
      <c r="C369" s="24" t="s">
        <v>117</v>
      </c>
      <c r="D369" s="31">
        <f t="shared" si="56"/>
        <v>5549355.2299999995</v>
      </c>
      <c r="E369" s="31">
        <v>0</v>
      </c>
      <c r="F369" s="31">
        <v>0</v>
      </c>
      <c r="G369" s="31">
        <v>0</v>
      </c>
      <c r="H369" s="31">
        <v>0</v>
      </c>
      <c r="I369" s="31">
        <v>0</v>
      </c>
      <c r="J369" s="31">
        <v>0</v>
      </c>
      <c r="K369" s="33">
        <v>0</v>
      </c>
      <c r="L369" s="31">
        <v>0</v>
      </c>
      <c r="M369" s="31">
        <v>1151</v>
      </c>
      <c r="N369" s="31">
        <v>5467345.0499999998</v>
      </c>
      <c r="O369" s="31">
        <v>0</v>
      </c>
      <c r="P369" s="31">
        <v>0</v>
      </c>
      <c r="Q369" s="31">
        <v>0</v>
      </c>
      <c r="R369" s="31">
        <v>0</v>
      </c>
      <c r="S369" s="31">
        <v>0</v>
      </c>
      <c r="T369" s="31">
        <v>0</v>
      </c>
      <c r="U369" s="31">
        <v>0</v>
      </c>
      <c r="V369" s="31">
        <v>0</v>
      </c>
      <c r="W369" s="31">
        <v>0</v>
      </c>
      <c r="X369" s="31">
        <v>0</v>
      </c>
      <c r="Y369" s="31">
        <v>0</v>
      </c>
      <c r="Z369" s="31">
        <v>0</v>
      </c>
      <c r="AA369" s="31">
        <v>0</v>
      </c>
      <c r="AB369" s="31">
        <v>0</v>
      </c>
      <c r="AC369" s="31">
        <f t="shared" si="57"/>
        <v>82010.179999999993</v>
      </c>
      <c r="AD369" s="31">
        <v>0</v>
      </c>
      <c r="AE369" s="31">
        <v>0</v>
      </c>
      <c r="AF369" s="34" t="s">
        <v>274</v>
      </c>
      <c r="AG369" s="34">
        <v>2020</v>
      </c>
      <c r="AH369" s="35">
        <v>2020</v>
      </c>
      <c r="AT369" s="20" t="e">
        <f t="shared" si="54"/>
        <v>#N/A</v>
      </c>
      <c r="BZ369" s="71"/>
      <c r="CD369" s="20">
        <f t="shared" si="48"/>
        <v>1151</v>
      </c>
    </row>
    <row r="370" spans="1:82" ht="61.5" x14ac:dyDescent="0.85">
      <c r="A370" s="20">
        <v>1</v>
      </c>
      <c r="B370" s="66">
        <f>SUBTOTAL(103,$A$22:A370)</f>
        <v>327</v>
      </c>
      <c r="C370" s="24" t="s">
        <v>119</v>
      </c>
      <c r="D370" s="31">
        <f t="shared" si="56"/>
        <v>3124500</v>
      </c>
      <c r="E370" s="31">
        <v>0</v>
      </c>
      <c r="F370" s="31">
        <v>0</v>
      </c>
      <c r="G370" s="31">
        <v>0</v>
      </c>
      <c r="H370" s="31">
        <v>0</v>
      </c>
      <c r="I370" s="31">
        <v>0</v>
      </c>
      <c r="J370" s="31">
        <v>0</v>
      </c>
      <c r="K370" s="33">
        <v>0</v>
      </c>
      <c r="L370" s="31">
        <v>0</v>
      </c>
      <c r="M370" s="31">
        <v>639.9</v>
      </c>
      <c r="N370" s="31">
        <v>3004433.5</v>
      </c>
      <c r="O370" s="31">
        <v>0</v>
      </c>
      <c r="P370" s="31">
        <v>0</v>
      </c>
      <c r="Q370" s="31">
        <v>0</v>
      </c>
      <c r="R370" s="31">
        <v>0</v>
      </c>
      <c r="S370" s="31">
        <v>0</v>
      </c>
      <c r="T370" s="31">
        <v>0</v>
      </c>
      <c r="U370" s="31">
        <v>0</v>
      </c>
      <c r="V370" s="31">
        <v>0</v>
      </c>
      <c r="W370" s="31">
        <v>0</v>
      </c>
      <c r="X370" s="31">
        <v>0</v>
      </c>
      <c r="Y370" s="31">
        <v>0</v>
      </c>
      <c r="Z370" s="31">
        <v>0</v>
      </c>
      <c r="AA370" s="31">
        <v>0</v>
      </c>
      <c r="AB370" s="31">
        <v>0</v>
      </c>
      <c r="AC370" s="31">
        <f t="shared" si="57"/>
        <v>45066.5</v>
      </c>
      <c r="AD370" s="31">
        <v>75000</v>
      </c>
      <c r="AE370" s="31">
        <v>0</v>
      </c>
      <c r="AF370" s="34">
        <v>2020</v>
      </c>
      <c r="AG370" s="34">
        <v>2020</v>
      </c>
      <c r="AH370" s="35">
        <v>2020</v>
      </c>
      <c r="AT370" s="20" t="e">
        <f t="shared" si="54"/>
        <v>#N/A</v>
      </c>
      <c r="BZ370" s="71"/>
      <c r="CD370" s="20" t="e">
        <f t="shared" si="48"/>
        <v>#N/A</v>
      </c>
    </row>
    <row r="371" spans="1:82" ht="61.5" x14ac:dyDescent="0.85">
      <c r="A371" s="20">
        <v>1</v>
      </c>
      <c r="B371" s="66">
        <f>SUBTOTAL(103,$A$22:A371)</f>
        <v>328</v>
      </c>
      <c r="C371" s="24" t="s">
        <v>120</v>
      </c>
      <c r="D371" s="31">
        <f t="shared" si="56"/>
        <v>2417780.6800000002</v>
      </c>
      <c r="E371" s="31">
        <v>470577.49</v>
      </c>
      <c r="F371" s="31">
        <v>0</v>
      </c>
      <c r="G371" s="31">
        <v>1453543.23</v>
      </c>
      <c r="H371" s="31">
        <v>457929.21</v>
      </c>
      <c r="I371" s="31">
        <v>0</v>
      </c>
      <c r="J371" s="31">
        <v>0</v>
      </c>
      <c r="K371" s="33">
        <v>0</v>
      </c>
      <c r="L371" s="31">
        <v>0</v>
      </c>
      <c r="M371" s="31">
        <v>0</v>
      </c>
      <c r="N371" s="31">
        <v>0</v>
      </c>
      <c r="O371" s="31">
        <v>0</v>
      </c>
      <c r="P371" s="31">
        <v>0</v>
      </c>
      <c r="Q371" s="31">
        <v>0</v>
      </c>
      <c r="R371" s="31">
        <v>0</v>
      </c>
      <c r="S371" s="31">
        <v>0</v>
      </c>
      <c r="T371" s="31">
        <v>0</v>
      </c>
      <c r="U371" s="31">
        <v>0</v>
      </c>
      <c r="V371" s="31">
        <v>0</v>
      </c>
      <c r="W371" s="31">
        <v>0</v>
      </c>
      <c r="X371" s="31">
        <v>0</v>
      </c>
      <c r="Y371" s="31">
        <v>0</v>
      </c>
      <c r="Z371" s="31">
        <v>0</v>
      </c>
      <c r="AA371" s="31">
        <v>0</v>
      </c>
      <c r="AB371" s="31">
        <v>0</v>
      </c>
      <c r="AC371" s="31">
        <f>ROUND((E371+F371+G371+H371+I371+J371)*1.5%,2)</f>
        <v>35730.75</v>
      </c>
      <c r="AD371" s="31">
        <v>0</v>
      </c>
      <c r="AE371" s="31">
        <v>0</v>
      </c>
      <c r="AF371" s="34" t="s">
        <v>274</v>
      </c>
      <c r="AG371" s="34">
        <v>2020</v>
      </c>
      <c r="AH371" s="35">
        <v>2020</v>
      </c>
      <c r="AT371" s="20" t="e">
        <f t="shared" si="54"/>
        <v>#N/A</v>
      </c>
      <c r="BZ371" s="71"/>
      <c r="CD371" s="20" t="e">
        <f t="shared" si="48"/>
        <v>#N/A</v>
      </c>
    </row>
    <row r="372" spans="1:82" ht="61.5" x14ac:dyDescent="0.85">
      <c r="A372" s="20">
        <v>1</v>
      </c>
      <c r="B372" s="66">
        <f>SUBTOTAL(103,$A$22:A372)</f>
        <v>329</v>
      </c>
      <c r="C372" s="24" t="s">
        <v>1252</v>
      </c>
      <c r="D372" s="31">
        <f t="shared" si="56"/>
        <v>6033854.2400000002</v>
      </c>
      <c r="E372" s="31">
        <v>0</v>
      </c>
      <c r="F372" s="31">
        <v>0</v>
      </c>
      <c r="G372" s="31">
        <v>0</v>
      </c>
      <c r="H372" s="31">
        <v>0</v>
      </c>
      <c r="I372" s="31">
        <v>0</v>
      </c>
      <c r="J372" s="31">
        <v>0</v>
      </c>
      <c r="K372" s="33">
        <v>0</v>
      </c>
      <c r="L372" s="31">
        <v>0</v>
      </c>
      <c r="M372" s="31">
        <v>0</v>
      </c>
      <c r="N372" s="31">
        <v>0</v>
      </c>
      <c r="O372" s="31">
        <v>0</v>
      </c>
      <c r="P372" s="31">
        <v>0</v>
      </c>
      <c r="Q372" s="31">
        <v>3424.15</v>
      </c>
      <c r="R372" s="31">
        <v>5944683.9800000004</v>
      </c>
      <c r="S372" s="31">
        <v>0</v>
      </c>
      <c r="T372" s="31">
        <v>0</v>
      </c>
      <c r="U372" s="31">
        <v>0</v>
      </c>
      <c r="V372" s="31">
        <v>0</v>
      </c>
      <c r="W372" s="31">
        <v>0</v>
      </c>
      <c r="X372" s="31">
        <v>0</v>
      </c>
      <c r="Y372" s="31">
        <v>0</v>
      </c>
      <c r="Z372" s="31">
        <v>0</v>
      </c>
      <c r="AA372" s="31">
        <v>0</v>
      </c>
      <c r="AB372" s="31">
        <v>0</v>
      </c>
      <c r="AC372" s="31">
        <f>ROUND(R372*1.5%,2)</f>
        <v>89170.26</v>
      </c>
      <c r="AD372" s="31">
        <v>0</v>
      </c>
      <c r="AE372" s="31">
        <v>0</v>
      </c>
      <c r="AF372" s="34" t="s">
        <v>274</v>
      </c>
      <c r="AG372" s="34">
        <v>2020</v>
      </c>
      <c r="AH372" s="35">
        <v>2020</v>
      </c>
      <c r="BZ372" s="71"/>
      <c r="CD372" s="20" t="e">
        <f t="shared" si="48"/>
        <v>#N/A</v>
      </c>
    </row>
    <row r="373" spans="1:82" ht="61.5" x14ac:dyDescent="0.85">
      <c r="A373" s="20">
        <v>1</v>
      </c>
      <c r="B373" s="66">
        <f>SUBTOTAL(103,$A$22:A373)</f>
        <v>330</v>
      </c>
      <c r="C373" s="24" t="s">
        <v>1253</v>
      </c>
      <c r="D373" s="31">
        <f t="shared" si="56"/>
        <v>4209702.2299999995</v>
      </c>
      <c r="E373" s="31">
        <v>0</v>
      </c>
      <c r="F373" s="31">
        <v>0</v>
      </c>
      <c r="G373" s="31">
        <v>0</v>
      </c>
      <c r="H373" s="31">
        <v>0</v>
      </c>
      <c r="I373" s="31">
        <v>0</v>
      </c>
      <c r="J373" s="31">
        <v>0</v>
      </c>
      <c r="K373" s="33">
        <v>0</v>
      </c>
      <c r="L373" s="31">
        <v>0</v>
      </c>
      <c r="M373" s="31">
        <v>1150.3</v>
      </c>
      <c r="N373" s="31">
        <v>4147489.88</v>
      </c>
      <c r="O373" s="31">
        <v>0</v>
      </c>
      <c r="P373" s="31">
        <v>0</v>
      </c>
      <c r="Q373" s="31">
        <v>0</v>
      </c>
      <c r="R373" s="31">
        <v>0</v>
      </c>
      <c r="S373" s="31">
        <v>0</v>
      </c>
      <c r="T373" s="31">
        <v>0</v>
      </c>
      <c r="U373" s="31">
        <v>0</v>
      </c>
      <c r="V373" s="31">
        <v>0</v>
      </c>
      <c r="W373" s="31">
        <v>0</v>
      </c>
      <c r="X373" s="31">
        <v>0</v>
      </c>
      <c r="Y373" s="31">
        <v>0</v>
      </c>
      <c r="Z373" s="31">
        <v>0</v>
      </c>
      <c r="AA373" s="31">
        <v>0</v>
      </c>
      <c r="AB373" s="31">
        <v>0</v>
      </c>
      <c r="AC373" s="31">
        <f>ROUND(N373*1.5%,2)</f>
        <v>62212.35</v>
      </c>
      <c r="AD373" s="31">
        <v>0</v>
      </c>
      <c r="AE373" s="31">
        <v>0</v>
      </c>
      <c r="AF373" s="34" t="s">
        <v>274</v>
      </c>
      <c r="AG373" s="34">
        <v>2020</v>
      </c>
      <c r="AH373" s="35">
        <v>2020</v>
      </c>
      <c r="BZ373" s="71"/>
      <c r="CD373" s="20">
        <f t="shared" si="48"/>
        <v>1150.3</v>
      </c>
    </row>
    <row r="374" spans="1:82" ht="61.5" x14ac:dyDescent="0.85">
      <c r="A374" s="20">
        <v>1</v>
      </c>
      <c r="B374" s="66">
        <f>SUBTOTAL(103,$A$22:A374)</f>
        <v>331</v>
      </c>
      <c r="C374" s="24" t="s">
        <v>1254</v>
      </c>
      <c r="D374" s="31">
        <f t="shared" si="56"/>
        <v>2832917.6399999997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3">
        <v>0</v>
      </c>
      <c r="L374" s="31">
        <v>0</v>
      </c>
      <c r="M374" s="31">
        <v>763.8</v>
      </c>
      <c r="N374" s="31">
        <v>2791051.86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0</v>
      </c>
      <c r="AB374" s="31">
        <v>0</v>
      </c>
      <c r="AC374" s="31">
        <f>ROUND(N374*1.5%,2)</f>
        <v>41865.78</v>
      </c>
      <c r="AD374" s="31">
        <v>0</v>
      </c>
      <c r="AE374" s="31">
        <v>0</v>
      </c>
      <c r="AF374" s="34" t="s">
        <v>274</v>
      </c>
      <c r="AG374" s="34">
        <v>2020</v>
      </c>
      <c r="AH374" s="35">
        <v>2020</v>
      </c>
      <c r="BZ374" s="71"/>
      <c r="CD374" s="20">
        <f t="shared" si="48"/>
        <v>763.8</v>
      </c>
    </row>
    <row r="375" spans="1:82" ht="61.5" x14ac:dyDescent="0.85">
      <c r="A375" s="20">
        <v>1</v>
      </c>
      <c r="B375" s="66">
        <f>SUBTOTAL(103,$A$22:A375)</f>
        <v>332</v>
      </c>
      <c r="C375" s="24" t="s">
        <v>1255</v>
      </c>
      <c r="D375" s="31">
        <f t="shared" si="56"/>
        <v>2136613.5299999998</v>
      </c>
      <c r="E375" s="31">
        <v>0</v>
      </c>
      <c r="F375" s="31">
        <v>0</v>
      </c>
      <c r="G375" s="31">
        <v>0</v>
      </c>
      <c r="H375" s="31">
        <v>0</v>
      </c>
      <c r="I375" s="31">
        <v>0</v>
      </c>
      <c r="J375" s="31">
        <v>0</v>
      </c>
      <c r="K375" s="33">
        <v>0</v>
      </c>
      <c r="L375" s="31">
        <v>0</v>
      </c>
      <c r="M375" s="31">
        <v>461.1</v>
      </c>
      <c r="N375" s="31">
        <v>2105037.96</v>
      </c>
      <c r="O375" s="31">
        <v>0</v>
      </c>
      <c r="P375" s="31">
        <v>0</v>
      </c>
      <c r="Q375" s="31">
        <v>0</v>
      </c>
      <c r="R375" s="31">
        <v>0</v>
      </c>
      <c r="S375" s="31">
        <v>0</v>
      </c>
      <c r="T375" s="31">
        <v>0</v>
      </c>
      <c r="U375" s="31">
        <v>0</v>
      </c>
      <c r="V375" s="31">
        <v>0</v>
      </c>
      <c r="W375" s="31">
        <v>0</v>
      </c>
      <c r="X375" s="31">
        <v>0</v>
      </c>
      <c r="Y375" s="31">
        <v>0</v>
      </c>
      <c r="Z375" s="31">
        <v>0</v>
      </c>
      <c r="AA375" s="31">
        <v>0</v>
      </c>
      <c r="AB375" s="31">
        <v>0</v>
      </c>
      <c r="AC375" s="31">
        <f>ROUND(N375*1.5%,2)</f>
        <v>31575.57</v>
      </c>
      <c r="AD375" s="31">
        <v>0</v>
      </c>
      <c r="AE375" s="31">
        <v>0</v>
      </c>
      <c r="AF375" s="34" t="s">
        <v>274</v>
      </c>
      <c r="AG375" s="34">
        <v>2020</v>
      </c>
      <c r="AH375" s="35">
        <v>2020</v>
      </c>
      <c r="BZ375" s="71"/>
      <c r="CD375" s="20">
        <f t="shared" si="48"/>
        <v>461.1</v>
      </c>
    </row>
    <row r="376" spans="1:82" ht="61.5" x14ac:dyDescent="0.85">
      <c r="A376" s="20">
        <v>1</v>
      </c>
      <c r="B376" s="66">
        <f>SUBTOTAL(103,$A$22:A376)</f>
        <v>333</v>
      </c>
      <c r="C376" s="24" t="s">
        <v>1256</v>
      </c>
      <c r="D376" s="31">
        <f t="shared" si="56"/>
        <v>1493904.71</v>
      </c>
      <c r="E376" s="31">
        <v>196469.4</v>
      </c>
      <c r="F376" s="31">
        <v>0</v>
      </c>
      <c r="G376" s="31">
        <f>1139606.22-109113.11</f>
        <v>1030493.11</v>
      </c>
      <c r="H376" s="31">
        <v>244864.79</v>
      </c>
      <c r="I376" s="31">
        <v>0</v>
      </c>
      <c r="J376" s="31">
        <v>0</v>
      </c>
      <c r="K376" s="33">
        <v>0</v>
      </c>
      <c r="L376" s="31">
        <v>0</v>
      </c>
      <c r="M376" s="31">
        <v>0</v>
      </c>
      <c r="N376" s="31">
        <v>0</v>
      </c>
      <c r="O376" s="31">
        <v>0</v>
      </c>
      <c r="P376" s="31">
        <v>0</v>
      </c>
      <c r="Q376" s="31">
        <v>0</v>
      </c>
      <c r="R376" s="31">
        <v>0</v>
      </c>
      <c r="S376" s="31">
        <v>0</v>
      </c>
      <c r="T376" s="31">
        <v>0</v>
      </c>
      <c r="U376" s="31">
        <v>0</v>
      </c>
      <c r="V376" s="31">
        <v>0</v>
      </c>
      <c r="W376" s="31">
        <v>0</v>
      </c>
      <c r="X376" s="31">
        <v>0</v>
      </c>
      <c r="Y376" s="31">
        <v>0</v>
      </c>
      <c r="Z376" s="31">
        <v>0</v>
      </c>
      <c r="AA376" s="31">
        <v>0</v>
      </c>
      <c r="AB376" s="31">
        <v>0</v>
      </c>
      <c r="AC376" s="31">
        <f>ROUND((E376+F376+G376+H376+I376+J376)*1.5%,2)</f>
        <v>22077.41</v>
      </c>
      <c r="AD376" s="31">
        <v>0</v>
      </c>
      <c r="AE376" s="31">
        <v>0</v>
      </c>
      <c r="AF376" s="34" t="s">
        <v>274</v>
      </c>
      <c r="AG376" s="34">
        <v>2020</v>
      </c>
      <c r="AH376" s="35">
        <v>2020</v>
      </c>
      <c r="BZ376" s="71"/>
      <c r="CD376" s="20" t="e">
        <f t="shared" si="48"/>
        <v>#N/A</v>
      </c>
    </row>
    <row r="377" spans="1:82" ht="61.5" x14ac:dyDescent="0.85">
      <c r="A377" s="20">
        <v>1</v>
      </c>
      <c r="B377" s="66">
        <f>SUBTOTAL(103,$A$22:A377)</f>
        <v>334</v>
      </c>
      <c r="C377" s="24" t="s">
        <v>1257</v>
      </c>
      <c r="D377" s="31">
        <f t="shared" si="56"/>
        <v>5506257.7399999993</v>
      </c>
      <c r="E377" s="31">
        <v>0</v>
      </c>
      <c r="F377" s="31">
        <v>0</v>
      </c>
      <c r="G377" s="31">
        <v>0</v>
      </c>
      <c r="H377" s="31">
        <v>0</v>
      </c>
      <c r="I377" s="31">
        <v>0</v>
      </c>
      <c r="J377" s="31">
        <v>0</v>
      </c>
      <c r="K377" s="33">
        <v>0</v>
      </c>
      <c r="L377" s="31">
        <v>0</v>
      </c>
      <c r="M377" s="31">
        <v>1528.9</v>
      </c>
      <c r="N377" s="31">
        <v>5424884.4699999997</v>
      </c>
      <c r="O377" s="31">
        <v>0</v>
      </c>
      <c r="P377" s="31">
        <v>0</v>
      </c>
      <c r="Q377" s="31">
        <v>0</v>
      </c>
      <c r="R377" s="31">
        <v>0</v>
      </c>
      <c r="S377" s="31">
        <v>0</v>
      </c>
      <c r="T377" s="31">
        <v>0</v>
      </c>
      <c r="U377" s="31">
        <v>0</v>
      </c>
      <c r="V377" s="31">
        <v>0</v>
      </c>
      <c r="W377" s="31">
        <v>0</v>
      </c>
      <c r="X377" s="31">
        <v>0</v>
      </c>
      <c r="Y377" s="31">
        <v>0</v>
      </c>
      <c r="Z377" s="31">
        <v>0</v>
      </c>
      <c r="AA377" s="31">
        <v>0</v>
      </c>
      <c r="AB377" s="31">
        <v>0</v>
      </c>
      <c r="AC377" s="31">
        <f>ROUND(N377*1.5%,2)</f>
        <v>81373.27</v>
      </c>
      <c r="AD377" s="31">
        <v>0</v>
      </c>
      <c r="AE377" s="31">
        <v>0</v>
      </c>
      <c r="AF377" s="34" t="s">
        <v>274</v>
      </c>
      <c r="AG377" s="34">
        <v>2020</v>
      </c>
      <c r="AH377" s="35">
        <v>2020</v>
      </c>
      <c r="BZ377" s="71"/>
      <c r="CD377" s="20">
        <f t="shared" si="48"/>
        <v>1528.9</v>
      </c>
    </row>
    <row r="378" spans="1:82" ht="61.5" x14ac:dyDescent="0.85">
      <c r="A378" s="20">
        <v>1</v>
      </c>
      <c r="B378" s="66">
        <f>SUBTOTAL(103,$A$22:A378)</f>
        <v>335</v>
      </c>
      <c r="C378" s="24" t="s">
        <v>1609</v>
      </c>
      <c r="D378" s="31">
        <f t="shared" si="56"/>
        <v>4512966</v>
      </c>
      <c r="E378" s="31">
        <v>0</v>
      </c>
      <c r="F378" s="31">
        <v>0</v>
      </c>
      <c r="G378" s="31">
        <v>0</v>
      </c>
      <c r="H378" s="31">
        <v>0</v>
      </c>
      <c r="I378" s="31">
        <v>0</v>
      </c>
      <c r="J378" s="31">
        <v>0</v>
      </c>
      <c r="K378" s="33">
        <v>0</v>
      </c>
      <c r="L378" s="31">
        <v>0</v>
      </c>
      <c r="M378" s="31">
        <v>870</v>
      </c>
      <c r="N378" s="31">
        <v>4328045.32</v>
      </c>
      <c r="O378" s="31">
        <v>0</v>
      </c>
      <c r="P378" s="31">
        <v>0</v>
      </c>
      <c r="Q378" s="31">
        <v>0</v>
      </c>
      <c r="R378" s="31">
        <v>0</v>
      </c>
      <c r="S378" s="31">
        <v>0</v>
      </c>
      <c r="T378" s="31">
        <v>0</v>
      </c>
      <c r="U378" s="31">
        <v>0</v>
      </c>
      <c r="V378" s="31">
        <v>0</v>
      </c>
      <c r="W378" s="31">
        <v>0</v>
      </c>
      <c r="X378" s="31">
        <v>0</v>
      </c>
      <c r="Y378" s="31">
        <v>0</v>
      </c>
      <c r="Z378" s="31">
        <v>0</v>
      </c>
      <c r="AA378" s="31">
        <v>0</v>
      </c>
      <c r="AB378" s="31">
        <v>0</v>
      </c>
      <c r="AC378" s="31">
        <f>ROUND(N378*1.5%,2)</f>
        <v>64920.68</v>
      </c>
      <c r="AD378" s="31">
        <v>120000</v>
      </c>
      <c r="AE378" s="31">
        <v>0</v>
      </c>
      <c r="AF378" s="34">
        <v>2020</v>
      </c>
      <c r="AG378" s="34">
        <v>2020</v>
      </c>
      <c r="AH378" s="35">
        <v>2020</v>
      </c>
      <c r="BZ378" s="71"/>
      <c r="CD378" s="20">
        <f t="shared" si="48"/>
        <v>870</v>
      </c>
    </row>
    <row r="379" spans="1:82" ht="61.5" x14ac:dyDescent="0.85">
      <c r="A379" s="20">
        <v>1</v>
      </c>
      <c r="B379" s="66">
        <f>SUBTOTAL(103,$A$22:A379)</f>
        <v>336</v>
      </c>
      <c r="C379" s="24" t="s">
        <v>136</v>
      </c>
      <c r="D379" s="31">
        <f t="shared" si="56"/>
        <v>4978221.0999999996</v>
      </c>
      <c r="E379" s="31">
        <v>0</v>
      </c>
      <c r="F379" s="31">
        <v>0</v>
      </c>
      <c r="G379" s="31">
        <v>0</v>
      </c>
      <c r="H379" s="31">
        <v>0</v>
      </c>
      <c r="I379" s="31">
        <v>0</v>
      </c>
      <c r="J379" s="31">
        <v>0</v>
      </c>
      <c r="K379" s="33">
        <v>0</v>
      </c>
      <c r="L379" s="31">
        <v>0</v>
      </c>
      <c r="M379" s="31">
        <v>1229.9000000000001</v>
      </c>
      <c r="N379" s="31">
        <v>4904651.33</v>
      </c>
      <c r="O379" s="31">
        <v>0</v>
      </c>
      <c r="P379" s="31">
        <v>0</v>
      </c>
      <c r="Q379" s="31">
        <v>0</v>
      </c>
      <c r="R379" s="31">
        <v>0</v>
      </c>
      <c r="S379" s="31">
        <v>0</v>
      </c>
      <c r="T379" s="31">
        <v>0</v>
      </c>
      <c r="U379" s="31">
        <v>0</v>
      </c>
      <c r="V379" s="31">
        <v>0</v>
      </c>
      <c r="W379" s="31">
        <v>0</v>
      </c>
      <c r="X379" s="31">
        <v>0</v>
      </c>
      <c r="Y379" s="31">
        <v>0</v>
      </c>
      <c r="Z379" s="31">
        <v>0</v>
      </c>
      <c r="AA379" s="31">
        <v>0</v>
      </c>
      <c r="AB379" s="31">
        <v>0</v>
      </c>
      <c r="AC379" s="31">
        <f>ROUND(N379*1.5%,2)</f>
        <v>73569.77</v>
      </c>
      <c r="AD379" s="31">
        <v>0</v>
      </c>
      <c r="AE379" s="31">
        <v>0</v>
      </c>
      <c r="AF379" s="34" t="s">
        <v>274</v>
      </c>
      <c r="AG379" s="34">
        <v>2020</v>
      </c>
      <c r="AH379" s="35">
        <v>2020</v>
      </c>
      <c r="BZ379" s="71"/>
      <c r="CD379" s="20">
        <f t="shared" si="48"/>
        <v>1229.9000000000001</v>
      </c>
    </row>
    <row r="380" spans="1:82" ht="61.5" x14ac:dyDescent="0.85">
      <c r="B380" s="24" t="s">
        <v>857</v>
      </c>
      <c r="C380" s="24"/>
      <c r="D380" s="31">
        <f>D381+D382</f>
        <v>2913286.51</v>
      </c>
      <c r="E380" s="31">
        <f t="shared" ref="E380:AE380" si="58">E381+E382</f>
        <v>70832.23</v>
      </c>
      <c r="F380" s="31">
        <f t="shared" si="58"/>
        <v>0</v>
      </c>
      <c r="G380" s="31">
        <f t="shared" si="58"/>
        <v>0</v>
      </c>
      <c r="H380" s="31">
        <f t="shared" si="58"/>
        <v>47331.59</v>
      </c>
      <c r="I380" s="31">
        <f t="shared" si="58"/>
        <v>407867.48</v>
      </c>
      <c r="J380" s="31">
        <f t="shared" si="58"/>
        <v>0</v>
      </c>
      <c r="K380" s="33">
        <f t="shared" si="58"/>
        <v>0</v>
      </c>
      <c r="L380" s="31">
        <f t="shared" si="58"/>
        <v>0</v>
      </c>
      <c r="M380" s="31">
        <f t="shared" si="58"/>
        <v>541.1</v>
      </c>
      <c r="N380" s="31">
        <f t="shared" si="58"/>
        <v>2344240.58</v>
      </c>
      <c r="O380" s="31">
        <f t="shared" si="58"/>
        <v>0</v>
      </c>
      <c r="P380" s="31">
        <f t="shared" si="58"/>
        <v>0</v>
      </c>
      <c r="Q380" s="31">
        <f t="shared" si="58"/>
        <v>0</v>
      </c>
      <c r="R380" s="31">
        <f t="shared" si="58"/>
        <v>0</v>
      </c>
      <c r="S380" s="31">
        <f t="shared" si="58"/>
        <v>0</v>
      </c>
      <c r="T380" s="31">
        <f t="shared" si="58"/>
        <v>0</v>
      </c>
      <c r="U380" s="31">
        <f t="shared" si="58"/>
        <v>0</v>
      </c>
      <c r="V380" s="31">
        <f t="shared" si="58"/>
        <v>0</v>
      </c>
      <c r="W380" s="31">
        <f t="shared" si="58"/>
        <v>0</v>
      </c>
      <c r="X380" s="31">
        <f t="shared" si="58"/>
        <v>0</v>
      </c>
      <c r="Y380" s="31">
        <f t="shared" si="58"/>
        <v>0</v>
      </c>
      <c r="Z380" s="31">
        <f t="shared" si="58"/>
        <v>0</v>
      </c>
      <c r="AA380" s="31">
        <f t="shared" si="58"/>
        <v>0</v>
      </c>
      <c r="AB380" s="31">
        <f t="shared" si="58"/>
        <v>0</v>
      </c>
      <c r="AC380" s="31">
        <f t="shared" si="58"/>
        <v>43014.630000000005</v>
      </c>
      <c r="AD380" s="31">
        <f t="shared" si="58"/>
        <v>0</v>
      </c>
      <c r="AE380" s="31">
        <f t="shared" si="58"/>
        <v>0</v>
      </c>
      <c r="AF380" s="72" t="s">
        <v>776</v>
      </c>
      <c r="AG380" s="72" t="s">
        <v>776</v>
      </c>
      <c r="AH380" s="89" t="s">
        <v>776</v>
      </c>
      <c r="AT380" s="20" t="e">
        <f>VLOOKUP(C380,AW:AX,2,FALSE)</f>
        <v>#N/A</v>
      </c>
      <c r="BZ380" s="31">
        <v>2913286.51</v>
      </c>
      <c r="CA380" s="31"/>
      <c r="CB380" s="31">
        <f>BZ380-D380</f>
        <v>0</v>
      </c>
      <c r="CD380" s="20" t="e">
        <f t="shared" si="48"/>
        <v>#N/A</v>
      </c>
    </row>
    <row r="381" spans="1:82" ht="61.5" x14ac:dyDescent="0.85">
      <c r="A381" s="20">
        <v>1</v>
      </c>
      <c r="B381" s="66">
        <f>SUBTOTAL(103,$A$22:A381)</f>
        <v>337</v>
      </c>
      <c r="C381" s="24" t="s">
        <v>121</v>
      </c>
      <c r="D381" s="31">
        <f>E381+F381+G381+H381+I381+J381+L381+N381+P381+R381+T381+U381+V381+W381+X381+Y381+Z381+AA381+AB381+AC381+AD381+AE381</f>
        <v>2379404.19</v>
      </c>
      <c r="E381" s="31">
        <v>0</v>
      </c>
      <c r="F381" s="31">
        <v>0</v>
      </c>
      <c r="G381" s="31">
        <v>0</v>
      </c>
      <c r="H381" s="31">
        <v>0</v>
      </c>
      <c r="I381" s="31">
        <v>0</v>
      </c>
      <c r="J381" s="31">
        <v>0</v>
      </c>
      <c r="K381" s="33">
        <v>0</v>
      </c>
      <c r="L381" s="31">
        <v>0</v>
      </c>
      <c r="M381" s="31">
        <v>541.1</v>
      </c>
      <c r="N381" s="31">
        <v>2344240.58</v>
      </c>
      <c r="O381" s="31">
        <v>0</v>
      </c>
      <c r="P381" s="31">
        <v>0</v>
      </c>
      <c r="Q381" s="31">
        <v>0</v>
      </c>
      <c r="R381" s="31">
        <v>0</v>
      </c>
      <c r="S381" s="31">
        <v>0</v>
      </c>
      <c r="T381" s="31">
        <v>0</v>
      </c>
      <c r="U381" s="31">
        <v>0</v>
      </c>
      <c r="V381" s="31">
        <v>0</v>
      </c>
      <c r="W381" s="31">
        <v>0</v>
      </c>
      <c r="X381" s="31">
        <v>0</v>
      </c>
      <c r="Y381" s="31">
        <v>0</v>
      </c>
      <c r="Z381" s="31">
        <v>0</v>
      </c>
      <c r="AA381" s="31">
        <v>0</v>
      </c>
      <c r="AB381" s="31">
        <v>0</v>
      </c>
      <c r="AC381" s="31">
        <f>ROUND(N381*1.5%,2)</f>
        <v>35163.61</v>
      </c>
      <c r="AD381" s="31">
        <v>0</v>
      </c>
      <c r="AE381" s="31">
        <v>0</v>
      </c>
      <c r="AF381" s="34" t="s">
        <v>274</v>
      </c>
      <c r="AG381" s="34">
        <v>2020</v>
      </c>
      <c r="AH381" s="35">
        <v>2020</v>
      </c>
      <c r="AT381" s="20" t="e">
        <f>VLOOKUP(C381,AW:AX,2,FALSE)</f>
        <v>#N/A</v>
      </c>
      <c r="BZ381" s="71"/>
      <c r="CD381" s="20">
        <f t="shared" si="48"/>
        <v>541.1</v>
      </c>
    </row>
    <row r="382" spans="1:82" ht="61.5" x14ac:dyDescent="0.85">
      <c r="A382" s="20">
        <v>1</v>
      </c>
      <c r="B382" s="66">
        <f>SUBTOTAL(103,$A$22:A382)</f>
        <v>338</v>
      </c>
      <c r="C382" s="24" t="s">
        <v>1258</v>
      </c>
      <c r="D382" s="31">
        <f>E382+F382+G382+H382+I382+J382+L382+N382+P382+R382+T382+U382+V382+W382+X382+Y382+Z382+AA382+AB382+AC382+AD382+AE382</f>
        <v>533882.31999999995</v>
      </c>
      <c r="E382" s="31">
        <v>70832.23</v>
      </c>
      <c r="F382" s="31">
        <v>0</v>
      </c>
      <c r="G382" s="31">
        <v>0</v>
      </c>
      <c r="H382" s="31">
        <v>47331.59</v>
      </c>
      <c r="I382" s="31">
        <v>407867.48</v>
      </c>
      <c r="J382" s="31">
        <v>0</v>
      </c>
      <c r="K382" s="33">
        <v>0</v>
      </c>
      <c r="L382" s="31">
        <v>0</v>
      </c>
      <c r="M382" s="31">
        <v>0</v>
      </c>
      <c r="N382" s="31">
        <v>0</v>
      </c>
      <c r="O382" s="31">
        <v>0</v>
      </c>
      <c r="P382" s="31">
        <v>0</v>
      </c>
      <c r="Q382" s="31">
        <v>0</v>
      </c>
      <c r="R382" s="31">
        <v>0</v>
      </c>
      <c r="S382" s="31">
        <v>0</v>
      </c>
      <c r="T382" s="31">
        <v>0</v>
      </c>
      <c r="U382" s="31">
        <v>0</v>
      </c>
      <c r="V382" s="31">
        <v>0</v>
      </c>
      <c r="W382" s="31">
        <v>0</v>
      </c>
      <c r="X382" s="31">
        <v>0</v>
      </c>
      <c r="Y382" s="31">
        <v>0</v>
      </c>
      <c r="Z382" s="31">
        <v>0</v>
      </c>
      <c r="AA382" s="31">
        <v>0</v>
      </c>
      <c r="AB382" s="31">
        <v>0</v>
      </c>
      <c r="AC382" s="31">
        <f>ROUND((E382+F382+G382+H382+I382+J382)*1.4925%,2)</f>
        <v>7851.02</v>
      </c>
      <c r="AD382" s="31">
        <v>0</v>
      </c>
      <c r="AE382" s="31">
        <v>0</v>
      </c>
      <c r="AF382" s="34" t="s">
        <v>274</v>
      </c>
      <c r="AG382" s="34">
        <v>2020</v>
      </c>
      <c r="AH382" s="35">
        <v>2020</v>
      </c>
      <c r="BZ382" s="71"/>
      <c r="CD382" s="20" t="e">
        <f t="shared" si="48"/>
        <v>#N/A</v>
      </c>
    </row>
    <row r="383" spans="1:82" ht="61.5" x14ac:dyDescent="0.85">
      <c r="B383" s="24" t="s">
        <v>917</v>
      </c>
      <c r="C383" s="24"/>
      <c r="D383" s="31">
        <f t="shared" ref="D383:AE383" si="59">D384</f>
        <v>2727875.44</v>
      </c>
      <c r="E383" s="31">
        <f t="shared" si="59"/>
        <v>0</v>
      </c>
      <c r="F383" s="31">
        <f t="shared" si="59"/>
        <v>0</v>
      </c>
      <c r="G383" s="31">
        <f t="shared" si="59"/>
        <v>0</v>
      </c>
      <c r="H383" s="31">
        <f t="shared" si="59"/>
        <v>0</v>
      </c>
      <c r="I383" s="31">
        <f t="shared" si="59"/>
        <v>0</v>
      </c>
      <c r="J383" s="31">
        <f t="shared" si="59"/>
        <v>0</v>
      </c>
      <c r="K383" s="33">
        <f t="shared" si="59"/>
        <v>0</v>
      </c>
      <c r="L383" s="31">
        <f t="shared" si="59"/>
        <v>0</v>
      </c>
      <c r="M383" s="31">
        <f t="shared" si="59"/>
        <v>313.10000000000002</v>
      </c>
      <c r="N383" s="31">
        <f t="shared" si="59"/>
        <v>1339691.19</v>
      </c>
      <c r="O383" s="31">
        <f t="shared" si="59"/>
        <v>0</v>
      </c>
      <c r="P383" s="31">
        <f t="shared" si="59"/>
        <v>0</v>
      </c>
      <c r="Q383" s="31">
        <f t="shared" si="59"/>
        <v>366.6</v>
      </c>
      <c r="R383" s="31">
        <f t="shared" si="59"/>
        <v>1219792</v>
      </c>
      <c r="S383" s="31">
        <f t="shared" si="59"/>
        <v>0</v>
      </c>
      <c r="T383" s="31">
        <f t="shared" si="59"/>
        <v>0</v>
      </c>
      <c r="U383" s="31">
        <f t="shared" si="59"/>
        <v>0</v>
      </c>
      <c r="V383" s="31">
        <f t="shared" si="59"/>
        <v>0</v>
      </c>
      <c r="W383" s="31">
        <f t="shared" si="59"/>
        <v>0</v>
      </c>
      <c r="X383" s="31">
        <f t="shared" si="59"/>
        <v>0</v>
      </c>
      <c r="Y383" s="31">
        <f t="shared" si="59"/>
        <v>0</v>
      </c>
      <c r="Z383" s="31">
        <f t="shared" si="59"/>
        <v>0</v>
      </c>
      <c r="AA383" s="31">
        <f t="shared" si="59"/>
        <v>0</v>
      </c>
      <c r="AB383" s="31">
        <f t="shared" si="59"/>
        <v>0</v>
      </c>
      <c r="AC383" s="31">
        <f t="shared" si="59"/>
        <v>38392.25</v>
      </c>
      <c r="AD383" s="31">
        <f t="shared" si="59"/>
        <v>130000</v>
      </c>
      <c r="AE383" s="31">
        <f t="shared" si="59"/>
        <v>0</v>
      </c>
      <c r="AF383" s="72" t="s">
        <v>776</v>
      </c>
      <c r="AG383" s="72" t="s">
        <v>776</v>
      </c>
      <c r="AH383" s="89" t="s">
        <v>776</v>
      </c>
      <c r="AT383" s="20" t="e">
        <f t="shared" ref="AT383:AT390" si="60">VLOOKUP(C383,AW:AX,2,FALSE)</f>
        <v>#N/A</v>
      </c>
      <c r="BZ383" s="71">
        <v>2727875.44</v>
      </c>
      <c r="CD383" s="20" t="e">
        <f t="shared" si="48"/>
        <v>#N/A</v>
      </c>
    </row>
    <row r="384" spans="1:82" ht="61.5" x14ac:dyDescent="0.85">
      <c r="A384" s="20">
        <v>1</v>
      </c>
      <c r="B384" s="66">
        <f>SUBTOTAL(103,$A$22:A384)</f>
        <v>339</v>
      </c>
      <c r="C384" s="24" t="s">
        <v>122</v>
      </c>
      <c r="D384" s="31">
        <f>E384+F384+G384+H384+I384+J384+L384+N384+P384+R384+T384+U384+V384+W384+X384+Y384+Z384+AA384+AB384+AC384+AD384+AE384</f>
        <v>2727875.44</v>
      </c>
      <c r="E384" s="31">
        <v>0</v>
      </c>
      <c r="F384" s="31">
        <v>0</v>
      </c>
      <c r="G384" s="31">
        <v>0</v>
      </c>
      <c r="H384" s="31">
        <v>0</v>
      </c>
      <c r="I384" s="31">
        <v>0</v>
      </c>
      <c r="J384" s="31">
        <v>0</v>
      </c>
      <c r="K384" s="33">
        <v>0</v>
      </c>
      <c r="L384" s="31">
        <v>0</v>
      </c>
      <c r="M384" s="31">
        <v>313.10000000000002</v>
      </c>
      <c r="N384" s="31">
        <v>1339691.19</v>
      </c>
      <c r="O384" s="31">
        <v>0</v>
      </c>
      <c r="P384" s="31">
        <v>0</v>
      </c>
      <c r="Q384" s="31">
        <v>366.6</v>
      </c>
      <c r="R384" s="31">
        <v>1219792</v>
      </c>
      <c r="S384" s="31">
        <v>0</v>
      </c>
      <c r="T384" s="31">
        <v>0</v>
      </c>
      <c r="U384" s="31">
        <v>0</v>
      </c>
      <c r="V384" s="31">
        <v>0</v>
      </c>
      <c r="W384" s="31">
        <v>0</v>
      </c>
      <c r="X384" s="31">
        <v>0</v>
      </c>
      <c r="Y384" s="31">
        <v>0</v>
      </c>
      <c r="Z384" s="31">
        <v>0</v>
      </c>
      <c r="AA384" s="31">
        <v>0</v>
      </c>
      <c r="AB384" s="31">
        <v>0</v>
      </c>
      <c r="AC384" s="31">
        <f>ROUND((N384+R384)*1.5%,2)</f>
        <v>38392.25</v>
      </c>
      <c r="AD384" s="31">
        <v>130000</v>
      </c>
      <c r="AE384" s="31">
        <v>0</v>
      </c>
      <c r="AF384" s="34">
        <v>2020</v>
      </c>
      <c r="AG384" s="34">
        <v>2020</v>
      </c>
      <c r="AH384" s="35">
        <v>2020</v>
      </c>
      <c r="AT384" s="20" t="e">
        <f t="shared" si="60"/>
        <v>#N/A</v>
      </c>
      <c r="BZ384" s="71"/>
      <c r="CD384" s="20">
        <f t="shared" si="48"/>
        <v>313.10000000000002</v>
      </c>
    </row>
    <row r="385" spans="1:82" ht="61.5" x14ac:dyDescent="0.85">
      <c r="B385" s="24" t="s">
        <v>858</v>
      </c>
      <c r="C385" s="24"/>
      <c r="D385" s="31">
        <f t="shared" ref="D385:AE385" si="61">D386</f>
        <v>3866903.76</v>
      </c>
      <c r="E385" s="31">
        <f t="shared" si="61"/>
        <v>0</v>
      </c>
      <c r="F385" s="31">
        <f t="shared" si="61"/>
        <v>0</v>
      </c>
      <c r="G385" s="31">
        <f t="shared" si="61"/>
        <v>0</v>
      </c>
      <c r="H385" s="31">
        <f t="shared" si="61"/>
        <v>0</v>
      </c>
      <c r="I385" s="31">
        <f t="shared" si="61"/>
        <v>0</v>
      </c>
      <c r="J385" s="31">
        <f t="shared" si="61"/>
        <v>0</v>
      </c>
      <c r="K385" s="33">
        <f t="shared" si="61"/>
        <v>0</v>
      </c>
      <c r="L385" s="31">
        <f t="shared" si="61"/>
        <v>0</v>
      </c>
      <c r="M385" s="31">
        <f t="shared" si="61"/>
        <v>681.29</v>
      </c>
      <c r="N385" s="31">
        <f t="shared" si="61"/>
        <v>3661974.15</v>
      </c>
      <c r="O385" s="31">
        <f t="shared" si="61"/>
        <v>0</v>
      </c>
      <c r="P385" s="31">
        <f t="shared" si="61"/>
        <v>0</v>
      </c>
      <c r="Q385" s="31">
        <f t="shared" si="61"/>
        <v>0</v>
      </c>
      <c r="R385" s="31">
        <f t="shared" si="61"/>
        <v>0</v>
      </c>
      <c r="S385" s="31">
        <f t="shared" si="61"/>
        <v>0</v>
      </c>
      <c r="T385" s="31">
        <f t="shared" si="61"/>
        <v>0</v>
      </c>
      <c r="U385" s="31">
        <f t="shared" si="61"/>
        <v>0</v>
      </c>
      <c r="V385" s="31">
        <f t="shared" si="61"/>
        <v>0</v>
      </c>
      <c r="W385" s="31">
        <f t="shared" si="61"/>
        <v>0</v>
      </c>
      <c r="X385" s="31">
        <f t="shared" si="61"/>
        <v>0</v>
      </c>
      <c r="Y385" s="31">
        <f t="shared" si="61"/>
        <v>0</v>
      </c>
      <c r="Z385" s="31">
        <f t="shared" si="61"/>
        <v>0</v>
      </c>
      <c r="AA385" s="31">
        <f t="shared" si="61"/>
        <v>0</v>
      </c>
      <c r="AB385" s="31">
        <f t="shared" si="61"/>
        <v>0</v>
      </c>
      <c r="AC385" s="31">
        <f t="shared" si="61"/>
        <v>54929.61</v>
      </c>
      <c r="AD385" s="31">
        <f t="shared" si="61"/>
        <v>150000</v>
      </c>
      <c r="AE385" s="31">
        <f t="shared" si="61"/>
        <v>0</v>
      </c>
      <c r="AF385" s="72" t="s">
        <v>776</v>
      </c>
      <c r="AG385" s="72" t="s">
        <v>776</v>
      </c>
      <c r="AH385" s="89" t="s">
        <v>776</v>
      </c>
      <c r="AT385" s="20" t="e">
        <f t="shared" si="60"/>
        <v>#N/A</v>
      </c>
      <c r="BZ385" s="71">
        <v>3866903.76</v>
      </c>
      <c r="CD385" s="20" t="e">
        <f t="shared" si="48"/>
        <v>#N/A</v>
      </c>
    </row>
    <row r="386" spans="1:82" ht="61.5" x14ac:dyDescent="0.85">
      <c r="A386" s="20">
        <v>1</v>
      </c>
      <c r="B386" s="66">
        <f>SUBTOTAL(103,$A$22:A386)</f>
        <v>340</v>
      </c>
      <c r="C386" s="24" t="s">
        <v>123</v>
      </c>
      <c r="D386" s="31">
        <f>E386+F386+G386+H386+I386+J386+L386+N386+P386+R386+T386+U386+V386+W386+X386+Y386+Z386+AA386+AB386+AC386+AD386+AE386</f>
        <v>3866903.76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3">
        <v>0</v>
      </c>
      <c r="L386" s="31">
        <v>0</v>
      </c>
      <c r="M386" s="31">
        <v>681.29</v>
      </c>
      <c r="N386" s="31">
        <f>3208325.12+446311.01+7338.02</f>
        <v>3661974.15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f>ROUND(N386*1.5%,2)</f>
        <v>54929.61</v>
      </c>
      <c r="AD386" s="31">
        <v>150000</v>
      </c>
      <c r="AE386" s="31">
        <v>0</v>
      </c>
      <c r="AF386" s="34">
        <v>2020</v>
      </c>
      <c r="AG386" s="34">
        <v>2020</v>
      </c>
      <c r="AH386" s="35">
        <v>2020</v>
      </c>
      <c r="AT386" s="20" t="e">
        <f t="shared" si="60"/>
        <v>#N/A</v>
      </c>
      <c r="BZ386" s="71"/>
      <c r="CD386" s="20" t="e">
        <f t="shared" si="48"/>
        <v>#N/A</v>
      </c>
    </row>
    <row r="387" spans="1:82" ht="61.5" x14ac:dyDescent="0.85">
      <c r="B387" s="24" t="s">
        <v>859</v>
      </c>
      <c r="C387" s="166"/>
      <c r="D387" s="31">
        <f>SUM(D388:D391)</f>
        <v>11389569.279999999</v>
      </c>
      <c r="E387" s="31">
        <f t="shared" ref="E387:AE387" si="62">SUM(E388:E391)</f>
        <v>0</v>
      </c>
      <c r="F387" s="31">
        <f t="shared" si="62"/>
        <v>0</v>
      </c>
      <c r="G387" s="31">
        <f t="shared" si="62"/>
        <v>0</v>
      </c>
      <c r="H387" s="31">
        <f t="shared" si="62"/>
        <v>0</v>
      </c>
      <c r="I387" s="31">
        <f t="shared" si="62"/>
        <v>0</v>
      </c>
      <c r="J387" s="31">
        <f t="shared" si="62"/>
        <v>0</v>
      </c>
      <c r="K387" s="33">
        <f t="shared" si="62"/>
        <v>0</v>
      </c>
      <c r="L387" s="31">
        <f t="shared" si="62"/>
        <v>0</v>
      </c>
      <c r="M387" s="31">
        <f t="shared" si="62"/>
        <v>850.3</v>
      </c>
      <c r="N387" s="31">
        <f t="shared" si="62"/>
        <v>4291026.4800000004</v>
      </c>
      <c r="O387" s="31">
        <f t="shared" si="62"/>
        <v>0</v>
      </c>
      <c r="P387" s="31">
        <f t="shared" si="62"/>
        <v>0</v>
      </c>
      <c r="Q387" s="31">
        <f t="shared" si="62"/>
        <v>336</v>
      </c>
      <c r="R387" s="31">
        <f t="shared" si="62"/>
        <v>2474562.84</v>
      </c>
      <c r="S387" s="31">
        <f t="shared" si="62"/>
        <v>0</v>
      </c>
      <c r="T387" s="31">
        <f t="shared" si="62"/>
        <v>0</v>
      </c>
      <c r="U387" s="31">
        <f t="shared" si="62"/>
        <v>4130538.05</v>
      </c>
      <c r="V387" s="31">
        <f t="shared" si="62"/>
        <v>0</v>
      </c>
      <c r="W387" s="31">
        <f t="shared" si="62"/>
        <v>0</v>
      </c>
      <c r="X387" s="31">
        <f t="shared" si="62"/>
        <v>0</v>
      </c>
      <c r="Y387" s="31">
        <f t="shared" si="62"/>
        <v>0</v>
      </c>
      <c r="Z387" s="31">
        <f t="shared" si="62"/>
        <v>0</v>
      </c>
      <c r="AA387" s="31">
        <f t="shared" si="62"/>
        <v>0</v>
      </c>
      <c r="AB387" s="31">
        <f t="shared" si="62"/>
        <v>0</v>
      </c>
      <c r="AC387" s="31">
        <f t="shared" si="62"/>
        <v>163441.91</v>
      </c>
      <c r="AD387" s="31">
        <f t="shared" si="62"/>
        <v>330000</v>
      </c>
      <c r="AE387" s="31">
        <f t="shared" si="62"/>
        <v>0</v>
      </c>
      <c r="AF387" s="72" t="s">
        <v>776</v>
      </c>
      <c r="AG387" s="72" t="s">
        <v>776</v>
      </c>
      <c r="AH387" s="89" t="s">
        <v>776</v>
      </c>
      <c r="AT387" s="20" t="e">
        <f t="shared" si="60"/>
        <v>#N/A</v>
      </c>
      <c r="BZ387" s="71">
        <v>11389569.279999999</v>
      </c>
      <c r="CC387" s="31">
        <v>10475726.369999999</v>
      </c>
      <c r="CD387" s="20" t="e">
        <f t="shared" si="48"/>
        <v>#N/A</v>
      </c>
    </row>
    <row r="388" spans="1:82" ht="61.5" x14ac:dyDescent="0.85">
      <c r="A388" s="20">
        <v>1</v>
      </c>
      <c r="B388" s="66">
        <f>SUBTOTAL(103,$A$22:A388)</f>
        <v>341</v>
      </c>
      <c r="C388" s="24" t="s">
        <v>174</v>
      </c>
      <c r="D388" s="31">
        <f>E388+F388+G388+H388+I388+J388+L388+N388+P388+R388+T388+U388+V388+W388+X388+Y388+Z388+AA388+AB388+AC388+AD388+AE388</f>
        <v>3297577.4</v>
      </c>
      <c r="E388" s="31">
        <v>0</v>
      </c>
      <c r="F388" s="31">
        <v>0</v>
      </c>
      <c r="G388" s="31">
        <v>0</v>
      </c>
      <c r="H388" s="31">
        <v>0</v>
      </c>
      <c r="I388" s="31">
        <v>0</v>
      </c>
      <c r="J388" s="31">
        <v>0</v>
      </c>
      <c r="K388" s="33">
        <v>0</v>
      </c>
      <c r="L388" s="31">
        <v>0</v>
      </c>
      <c r="M388" s="31">
        <v>678.3</v>
      </c>
      <c r="N388" s="31">
        <f>3248844.73</f>
        <v>3248844.73</v>
      </c>
      <c r="O388" s="31">
        <v>0</v>
      </c>
      <c r="P388" s="31">
        <v>0</v>
      </c>
      <c r="Q388" s="31">
        <v>0</v>
      </c>
      <c r="R388" s="31">
        <v>0</v>
      </c>
      <c r="S388" s="31">
        <v>0</v>
      </c>
      <c r="T388" s="31">
        <v>0</v>
      </c>
      <c r="U388" s="31">
        <v>0</v>
      </c>
      <c r="V388" s="31">
        <v>0</v>
      </c>
      <c r="W388" s="31">
        <v>0</v>
      </c>
      <c r="X388" s="31">
        <v>0</v>
      </c>
      <c r="Y388" s="31">
        <v>0</v>
      </c>
      <c r="Z388" s="31">
        <v>0</v>
      </c>
      <c r="AA388" s="31">
        <v>0</v>
      </c>
      <c r="AB388" s="31">
        <v>0</v>
      </c>
      <c r="AC388" s="31">
        <f>ROUND(N388*1.5%,2)</f>
        <v>48732.67</v>
      </c>
      <c r="AD388" s="31">
        <v>0</v>
      </c>
      <c r="AE388" s="31">
        <v>0</v>
      </c>
      <c r="AF388" s="34" t="s">
        <v>274</v>
      </c>
      <c r="AG388" s="34">
        <v>2020</v>
      </c>
      <c r="AH388" s="35">
        <v>2020</v>
      </c>
      <c r="AT388" s="20" t="e">
        <f t="shared" si="60"/>
        <v>#N/A</v>
      </c>
      <c r="BZ388" s="71"/>
      <c r="CD388" s="20">
        <f t="shared" si="48"/>
        <v>678.3</v>
      </c>
    </row>
    <row r="389" spans="1:82" ht="61.5" x14ac:dyDescent="0.85">
      <c r="A389" s="20">
        <v>1</v>
      </c>
      <c r="B389" s="66">
        <f>SUBTOTAL(103,$A$22:A389)</f>
        <v>342</v>
      </c>
      <c r="C389" s="24" t="s">
        <v>175</v>
      </c>
      <c r="D389" s="31">
        <f>E389+F389+G389+H389+I389+J389+L389+N389+P389+R389+T389+U389+V389+W389+X389+Y389+Z389+AA389+AB389+AC389+AD389+AE389</f>
        <v>2511681.2799999998</v>
      </c>
      <c r="E389" s="31">
        <v>0</v>
      </c>
      <c r="F389" s="31">
        <v>0</v>
      </c>
      <c r="G389" s="31">
        <v>0</v>
      </c>
      <c r="H389" s="31">
        <v>0</v>
      </c>
      <c r="I389" s="31">
        <v>0</v>
      </c>
      <c r="J389" s="31">
        <v>0</v>
      </c>
      <c r="K389" s="33">
        <v>0</v>
      </c>
      <c r="L389" s="31">
        <v>0</v>
      </c>
      <c r="M389" s="31">
        <v>0</v>
      </c>
      <c r="N389" s="31">
        <v>0</v>
      </c>
      <c r="O389" s="31">
        <v>0</v>
      </c>
      <c r="P389" s="31">
        <v>0</v>
      </c>
      <c r="Q389" s="31">
        <v>336</v>
      </c>
      <c r="R389" s="31">
        <f>2465520.05+9042.79</f>
        <v>2474562.84</v>
      </c>
      <c r="S389" s="31">
        <v>0</v>
      </c>
      <c r="T389" s="31">
        <v>0</v>
      </c>
      <c r="U389" s="31">
        <v>0</v>
      </c>
      <c r="V389" s="31">
        <v>0</v>
      </c>
      <c r="W389" s="31">
        <v>0</v>
      </c>
      <c r="X389" s="31">
        <v>0</v>
      </c>
      <c r="Y389" s="31">
        <v>0</v>
      </c>
      <c r="Z389" s="31">
        <v>0</v>
      </c>
      <c r="AA389" s="31">
        <v>0</v>
      </c>
      <c r="AB389" s="31">
        <v>0</v>
      </c>
      <c r="AC389" s="31">
        <f>ROUND(R389*1.5%,2)</f>
        <v>37118.44</v>
      </c>
      <c r="AD389" s="31">
        <v>0</v>
      </c>
      <c r="AE389" s="31">
        <v>0</v>
      </c>
      <c r="AF389" s="34" t="s">
        <v>274</v>
      </c>
      <c r="AG389" s="34">
        <v>2020</v>
      </c>
      <c r="AH389" s="35">
        <v>2020</v>
      </c>
      <c r="AT389" s="20" t="e">
        <f t="shared" si="60"/>
        <v>#N/A</v>
      </c>
      <c r="BZ389" s="71"/>
      <c r="CD389" s="20" t="e">
        <f t="shared" si="48"/>
        <v>#N/A</v>
      </c>
    </row>
    <row r="390" spans="1:82" ht="61.5" x14ac:dyDescent="0.85">
      <c r="A390" s="20">
        <v>1</v>
      </c>
      <c r="B390" s="66">
        <f>SUBTOTAL(103,$A$22:A390)</f>
        <v>343</v>
      </c>
      <c r="C390" s="24" t="s">
        <v>173</v>
      </c>
      <c r="D390" s="31">
        <f>E390+F390+G390+H390+I390+J390+L390+N390+P390+R390+T390+U390+V390+W390+X390+Y390+Z390+AA390+AB390+AC390+AD390+AE390</f>
        <v>4462496.1199999992</v>
      </c>
      <c r="E390" s="31">
        <v>0</v>
      </c>
      <c r="F390" s="31">
        <v>0</v>
      </c>
      <c r="G390" s="31">
        <v>0</v>
      </c>
      <c r="H390" s="31">
        <v>0</v>
      </c>
      <c r="I390" s="31">
        <v>0</v>
      </c>
      <c r="J390" s="31">
        <v>0</v>
      </c>
      <c r="K390" s="33">
        <v>0</v>
      </c>
      <c r="L390" s="31">
        <v>0</v>
      </c>
      <c r="M390" s="31">
        <v>0</v>
      </c>
      <c r="N390" s="31">
        <v>0</v>
      </c>
      <c r="O390" s="31">
        <v>0</v>
      </c>
      <c r="P390" s="31">
        <v>0</v>
      </c>
      <c r="Q390" s="31">
        <v>0</v>
      </c>
      <c r="R390" s="31">
        <v>0</v>
      </c>
      <c r="S390" s="31">
        <v>0</v>
      </c>
      <c r="T390" s="31">
        <v>0</v>
      </c>
      <c r="U390" s="31">
        <f>4178507.88-47969.83</f>
        <v>4130538.05</v>
      </c>
      <c r="V390" s="31">
        <v>0</v>
      </c>
      <c r="W390" s="31">
        <v>0</v>
      </c>
      <c r="X390" s="31">
        <v>0</v>
      </c>
      <c r="Y390" s="31">
        <v>0</v>
      </c>
      <c r="Z390" s="31">
        <v>0</v>
      </c>
      <c r="AA390" s="31">
        <v>0</v>
      </c>
      <c r="AB390" s="31">
        <v>0</v>
      </c>
      <c r="AC390" s="31">
        <f>ROUND(U390*1.5%,2)</f>
        <v>61958.07</v>
      </c>
      <c r="AD390" s="31">
        <v>270000</v>
      </c>
      <c r="AE390" s="31">
        <v>0</v>
      </c>
      <c r="AF390" s="34">
        <v>2020</v>
      </c>
      <c r="AG390" s="34">
        <v>2020</v>
      </c>
      <c r="AH390" s="35">
        <v>2020</v>
      </c>
      <c r="AT390" s="20" t="e">
        <f t="shared" si="60"/>
        <v>#N/A</v>
      </c>
      <c r="BZ390" s="71"/>
      <c r="CD390" s="20" t="e">
        <f t="shared" si="48"/>
        <v>#N/A</v>
      </c>
    </row>
    <row r="391" spans="1:82" ht="61.5" x14ac:dyDescent="0.85">
      <c r="A391" s="20">
        <v>1</v>
      </c>
      <c r="B391" s="66">
        <f>SUBTOTAL(103,$A$22:A391)</f>
        <v>344</v>
      </c>
      <c r="C391" s="24" t="s">
        <v>1624</v>
      </c>
      <c r="D391" s="31">
        <f>E391+F391+G391+H391+I391+J391+L391+N391+P391+R391+T391+U391+V391+W391+X391+Y391+Z391+AA391+AB391+AC391+AD391+AE391</f>
        <v>1117814.48</v>
      </c>
      <c r="E391" s="31">
        <v>0</v>
      </c>
      <c r="F391" s="31">
        <v>0</v>
      </c>
      <c r="G391" s="31">
        <v>0</v>
      </c>
      <c r="H391" s="31">
        <v>0</v>
      </c>
      <c r="I391" s="31">
        <v>0</v>
      </c>
      <c r="J391" s="31">
        <v>0</v>
      </c>
      <c r="K391" s="33">
        <v>0</v>
      </c>
      <c r="L391" s="31">
        <v>0</v>
      </c>
      <c r="M391" s="31">
        <v>172</v>
      </c>
      <c r="N391" s="31">
        <f>898149.6+144032.15</f>
        <v>1042181.75</v>
      </c>
      <c r="O391" s="31">
        <v>0</v>
      </c>
      <c r="P391" s="31">
        <v>0</v>
      </c>
      <c r="Q391" s="31">
        <v>0</v>
      </c>
      <c r="R391" s="31">
        <v>0</v>
      </c>
      <c r="S391" s="31">
        <v>0</v>
      </c>
      <c r="T391" s="31">
        <v>0</v>
      </c>
      <c r="U391" s="31">
        <v>0</v>
      </c>
      <c r="V391" s="31">
        <v>0</v>
      </c>
      <c r="W391" s="31">
        <v>0</v>
      </c>
      <c r="X391" s="31">
        <v>0</v>
      </c>
      <c r="Y391" s="31">
        <v>0</v>
      </c>
      <c r="Z391" s="31">
        <v>0</v>
      </c>
      <c r="AA391" s="31">
        <v>0</v>
      </c>
      <c r="AB391" s="31">
        <v>0</v>
      </c>
      <c r="AC391" s="31">
        <f>ROUND(N391*1.5%,2)</f>
        <v>15632.73</v>
      </c>
      <c r="AD391" s="31">
        <v>60000</v>
      </c>
      <c r="AE391" s="31">
        <v>0</v>
      </c>
      <c r="AF391" s="34">
        <v>2020</v>
      </c>
      <c r="AG391" s="34">
        <v>2020</v>
      </c>
      <c r="AH391" s="35">
        <v>2020</v>
      </c>
      <c r="BZ391" s="71"/>
      <c r="CD391" s="20" t="e">
        <f t="shared" si="48"/>
        <v>#N/A</v>
      </c>
    </row>
    <row r="392" spans="1:82" ht="61.5" x14ac:dyDescent="0.85">
      <c r="B392" s="24" t="s">
        <v>860</v>
      </c>
      <c r="C392" s="24"/>
      <c r="D392" s="31">
        <f>SUM(D393:D394)</f>
        <v>4635021.79</v>
      </c>
      <c r="E392" s="31">
        <f t="shared" ref="E392:AE392" si="63">SUM(E393:E394)</f>
        <v>169822.4</v>
      </c>
      <c r="F392" s="31">
        <f t="shared" si="63"/>
        <v>0</v>
      </c>
      <c r="G392" s="31">
        <f t="shared" si="63"/>
        <v>1632000</v>
      </c>
      <c r="H392" s="31">
        <f t="shared" si="63"/>
        <v>200000</v>
      </c>
      <c r="I392" s="31">
        <f t="shared" si="63"/>
        <v>268959.81</v>
      </c>
      <c r="J392" s="31">
        <f t="shared" si="63"/>
        <v>0</v>
      </c>
      <c r="K392" s="33">
        <f t="shared" si="63"/>
        <v>0</v>
      </c>
      <c r="L392" s="31">
        <f t="shared" si="63"/>
        <v>0</v>
      </c>
      <c r="M392" s="31">
        <f t="shared" si="63"/>
        <v>412.82</v>
      </c>
      <c r="N392" s="31">
        <f t="shared" si="63"/>
        <v>2177515.12</v>
      </c>
      <c r="O392" s="31">
        <f t="shared" si="63"/>
        <v>0</v>
      </c>
      <c r="P392" s="31">
        <f t="shared" si="63"/>
        <v>0</v>
      </c>
      <c r="Q392" s="31">
        <f t="shared" si="63"/>
        <v>0</v>
      </c>
      <c r="R392" s="31">
        <f t="shared" si="63"/>
        <v>0</v>
      </c>
      <c r="S392" s="31">
        <f t="shared" si="63"/>
        <v>0</v>
      </c>
      <c r="T392" s="31">
        <f t="shared" si="63"/>
        <v>0</v>
      </c>
      <c r="U392" s="31">
        <f t="shared" si="63"/>
        <v>0</v>
      </c>
      <c r="V392" s="31">
        <f t="shared" si="63"/>
        <v>0</v>
      </c>
      <c r="W392" s="31">
        <f t="shared" si="63"/>
        <v>0</v>
      </c>
      <c r="X392" s="31">
        <f t="shared" si="63"/>
        <v>0</v>
      </c>
      <c r="Y392" s="31">
        <f t="shared" si="63"/>
        <v>0</v>
      </c>
      <c r="Z392" s="31">
        <f t="shared" si="63"/>
        <v>0</v>
      </c>
      <c r="AA392" s="31">
        <f t="shared" si="63"/>
        <v>0</v>
      </c>
      <c r="AB392" s="31">
        <f t="shared" si="63"/>
        <v>0</v>
      </c>
      <c r="AC392" s="31">
        <f t="shared" si="63"/>
        <v>66724.460000000006</v>
      </c>
      <c r="AD392" s="31">
        <f t="shared" si="63"/>
        <v>120000</v>
      </c>
      <c r="AE392" s="31">
        <f t="shared" si="63"/>
        <v>0</v>
      </c>
      <c r="AF392" s="72" t="s">
        <v>776</v>
      </c>
      <c r="AG392" s="72" t="s">
        <v>776</v>
      </c>
      <c r="AH392" s="89" t="s">
        <v>776</v>
      </c>
      <c r="AT392" s="20" t="e">
        <f>VLOOKUP(C392,AW:AX,2,FALSE)</f>
        <v>#N/A</v>
      </c>
      <c r="BZ392" s="71">
        <v>4635021.79</v>
      </c>
      <c r="CC392" s="31">
        <v>3960937.4299999997</v>
      </c>
      <c r="CD392" s="20" t="e">
        <f t="shared" si="48"/>
        <v>#N/A</v>
      </c>
    </row>
    <row r="393" spans="1:82" ht="61.5" x14ac:dyDescent="0.85">
      <c r="A393" s="20">
        <v>1</v>
      </c>
      <c r="B393" s="66">
        <f>SUBTOTAL(103,$A$22:A393)</f>
        <v>345</v>
      </c>
      <c r="C393" s="24" t="s">
        <v>172</v>
      </c>
      <c r="D393" s="31">
        <f>E393+F393+G393+H393+I393+J393+L393+N393+P393+R393+T393+U393+V393+W393+X393+Y393+Z393+AA393+AB393+AC393+AD393+AE393</f>
        <v>2330177.85</v>
      </c>
      <c r="E393" s="31">
        <v>0</v>
      </c>
      <c r="F393" s="31">
        <v>0</v>
      </c>
      <c r="G393" s="31">
        <v>0</v>
      </c>
      <c r="H393" s="31">
        <v>0</v>
      </c>
      <c r="I393" s="31">
        <v>0</v>
      </c>
      <c r="J393" s="31">
        <v>0</v>
      </c>
      <c r="K393" s="33">
        <v>0</v>
      </c>
      <c r="L393" s="31">
        <v>0</v>
      </c>
      <c r="M393" s="31">
        <v>412.82</v>
      </c>
      <c r="N393" s="31">
        <v>2177515.12</v>
      </c>
      <c r="O393" s="31">
        <v>0</v>
      </c>
      <c r="P393" s="31">
        <v>0</v>
      </c>
      <c r="Q393" s="31">
        <v>0</v>
      </c>
      <c r="R393" s="31">
        <v>0</v>
      </c>
      <c r="S393" s="31">
        <v>0</v>
      </c>
      <c r="T393" s="31">
        <v>0</v>
      </c>
      <c r="U393" s="31">
        <v>0</v>
      </c>
      <c r="V393" s="31">
        <v>0</v>
      </c>
      <c r="W393" s="31">
        <v>0</v>
      </c>
      <c r="X393" s="31">
        <v>0</v>
      </c>
      <c r="Y393" s="31">
        <v>0</v>
      </c>
      <c r="Z393" s="31">
        <v>0</v>
      </c>
      <c r="AA393" s="31">
        <v>0</v>
      </c>
      <c r="AB393" s="31">
        <v>0</v>
      </c>
      <c r="AC393" s="31">
        <f>ROUND(N393*1.5%,2)</f>
        <v>32662.73</v>
      </c>
      <c r="AD393" s="31">
        <v>120000</v>
      </c>
      <c r="AE393" s="31">
        <v>0</v>
      </c>
      <c r="AF393" s="34">
        <v>2020</v>
      </c>
      <c r="AG393" s="34">
        <v>2020</v>
      </c>
      <c r="AH393" s="35">
        <v>2020</v>
      </c>
      <c r="AT393" s="20" t="e">
        <f>VLOOKUP(C393,AW:AX,2,FALSE)</f>
        <v>#N/A</v>
      </c>
      <c r="BZ393" s="71"/>
      <c r="CD393" s="20">
        <f t="shared" si="48"/>
        <v>412.82</v>
      </c>
    </row>
    <row r="394" spans="1:82" ht="61.5" x14ac:dyDescent="0.85">
      <c r="A394" s="20">
        <v>1</v>
      </c>
      <c r="B394" s="66">
        <f>SUBTOTAL(103,$A$22:A394)</f>
        <v>346</v>
      </c>
      <c r="C394" s="24" t="s">
        <v>1261</v>
      </c>
      <c r="D394" s="31">
        <f>E394+F394+G394+H394+I394+J394+L394+N394+P394+R394+T394+U394+V394+W394+X394+Y394+Z394+AA394+AB394+AC394+AD394+AE394</f>
        <v>2304843.94</v>
      </c>
      <c r="E394" s="31">
        <v>169822.4</v>
      </c>
      <c r="F394" s="31">
        <v>0</v>
      </c>
      <c r="G394" s="31">
        <v>1632000</v>
      </c>
      <c r="H394" s="31">
        <v>200000</v>
      </c>
      <c r="I394" s="31">
        <v>268959.81</v>
      </c>
      <c r="J394" s="31">
        <v>0</v>
      </c>
      <c r="K394" s="33">
        <v>0</v>
      </c>
      <c r="L394" s="31">
        <v>0</v>
      </c>
      <c r="M394" s="31">
        <v>0</v>
      </c>
      <c r="N394" s="31">
        <v>0</v>
      </c>
      <c r="O394" s="31">
        <v>0</v>
      </c>
      <c r="P394" s="31">
        <v>0</v>
      </c>
      <c r="Q394" s="31">
        <v>0</v>
      </c>
      <c r="R394" s="31">
        <v>0</v>
      </c>
      <c r="S394" s="31">
        <v>0</v>
      </c>
      <c r="T394" s="31">
        <v>0</v>
      </c>
      <c r="U394" s="31">
        <v>0</v>
      </c>
      <c r="V394" s="31">
        <v>0</v>
      </c>
      <c r="W394" s="31">
        <v>0</v>
      </c>
      <c r="X394" s="31">
        <v>0</v>
      </c>
      <c r="Y394" s="31">
        <v>0</v>
      </c>
      <c r="Z394" s="31">
        <v>0</v>
      </c>
      <c r="AA394" s="31">
        <v>0</v>
      </c>
      <c r="AB394" s="31">
        <v>0</v>
      </c>
      <c r="AC394" s="31">
        <f>ROUND((E394+F394+G394+H394+I394+J394)*1.5%,2)</f>
        <v>34061.730000000003</v>
      </c>
      <c r="AD394" s="31">
        <v>0</v>
      </c>
      <c r="AE394" s="31">
        <v>0</v>
      </c>
      <c r="AF394" s="34" t="s">
        <v>274</v>
      </c>
      <c r="AG394" s="34">
        <v>2020</v>
      </c>
      <c r="AH394" s="35">
        <v>2020</v>
      </c>
      <c r="BZ394" s="71"/>
      <c r="CD394" s="20" t="e">
        <f t="shared" si="48"/>
        <v>#N/A</v>
      </c>
    </row>
    <row r="395" spans="1:82" ht="61.5" x14ac:dyDescent="0.85">
      <c r="B395" s="24" t="s">
        <v>862</v>
      </c>
      <c r="C395" s="24"/>
      <c r="D395" s="31">
        <f>D396</f>
        <v>1547699.36</v>
      </c>
      <c r="E395" s="31">
        <f t="shared" ref="E395:AE395" si="64">E396</f>
        <v>0</v>
      </c>
      <c r="F395" s="31">
        <f t="shared" si="64"/>
        <v>0</v>
      </c>
      <c r="G395" s="31">
        <f t="shared" si="64"/>
        <v>0</v>
      </c>
      <c r="H395" s="31">
        <f t="shared" si="64"/>
        <v>0</v>
      </c>
      <c r="I395" s="31">
        <f t="shared" si="64"/>
        <v>0</v>
      </c>
      <c r="J395" s="31">
        <f t="shared" si="64"/>
        <v>0</v>
      </c>
      <c r="K395" s="33">
        <f t="shared" si="64"/>
        <v>0</v>
      </c>
      <c r="L395" s="31">
        <f t="shared" si="64"/>
        <v>0</v>
      </c>
      <c r="M395" s="31">
        <f t="shared" si="64"/>
        <v>336.14</v>
      </c>
      <c r="N395" s="31">
        <f t="shared" si="64"/>
        <v>1406600.35</v>
      </c>
      <c r="O395" s="31">
        <f t="shared" si="64"/>
        <v>0</v>
      </c>
      <c r="P395" s="31">
        <f t="shared" si="64"/>
        <v>0</v>
      </c>
      <c r="Q395" s="31">
        <f t="shared" si="64"/>
        <v>0</v>
      </c>
      <c r="R395" s="31">
        <f t="shared" si="64"/>
        <v>0</v>
      </c>
      <c r="S395" s="31">
        <f t="shared" si="64"/>
        <v>0</v>
      </c>
      <c r="T395" s="31">
        <f t="shared" si="64"/>
        <v>0</v>
      </c>
      <c r="U395" s="31">
        <f t="shared" si="64"/>
        <v>0</v>
      </c>
      <c r="V395" s="31">
        <f t="shared" si="64"/>
        <v>0</v>
      </c>
      <c r="W395" s="31">
        <f t="shared" si="64"/>
        <v>0</v>
      </c>
      <c r="X395" s="31">
        <f t="shared" si="64"/>
        <v>0</v>
      </c>
      <c r="Y395" s="31">
        <f t="shared" si="64"/>
        <v>0</v>
      </c>
      <c r="Z395" s="31">
        <f t="shared" si="64"/>
        <v>0</v>
      </c>
      <c r="AA395" s="31">
        <f t="shared" si="64"/>
        <v>0</v>
      </c>
      <c r="AB395" s="31">
        <f t="shared" si="64"/>
        <v>0</v>
      </c>
      <c r="AC395" s="31">
        <f t="shared" si="64"/>
        <v>21099.01</v>
      </c>
      <c r="AD395" s="31">
        <f t="shared" si="64"/>
        <v>120000</v>
      </c>
      <c r="AE395" s="31">
        <f t="shared" si="64"/>
        <v>0</v>
      </c>
      <c r="AF395" s="72" t="s">
        <v>776</v>
      </c>
      <c r="AG395" s="72" t="s">
        <v>776</v>
      </c>
      <c r="AH395" s="89" t="s">
        <v>776</v>
      </c>
      <c r="AT395" s="20" t="e">
        <f>VLOOKUP(C395,AW:AX,2,FALSE)</f>
        <v>#N/A</v>
      </c>
      <c r="BZ395" s="71">
        <v>1547699.36</v>
      </c>
      <c r="CD395" s="20" t="e">
        <f t="shared" si="48"/>
        <v>#N/A</v>
      </c>
    </row>
    <row r="396" spans="1:82" ht="61.5" x14ac:dyDescent="0.85">
      <c r="A396" s="20">
        <v>1</v>
      </c>
      <c r="B396" s="66">
        <f>SUBTOTAL(103,$A$22:A396)</f>
        <v>347</v>
      </c>
      <c r="C396" s="24" t="s">
        <v>171</v>
      </c>
      <c r="D396" s="31">
        <f>E396+F396+G396+H396+I396+J396+L396+N396+P396+R396+T396+U396+V396+W396+X396+Y396+Z396+AA396+AB396+AC396+AD396+AE396</f>
        <v>1547699.36</v>
      </c>
      <c r="E396" s="31">
        <v>0</v>
      </c>
      <c r="F396" s="31">
        <v>0</v>
      </c>
      <c r="G396" s="31">
        <v>0</v>
      </c>
      <c r="H396" s="31">
        <v>0</v>
      </c>
      <c r="I396" s="31">
        <v>0</v>
      </c>
      <c r="J396" s="31">
        <v>0</v>
      </c>
      <c r="K396" s="33">
        <v>0</v>
      </c>
      <c r="L396" s="31">
        <v>0</v>
      </c>
      <c r="M396" s="31">
        <v>336.14</v>
      </c>
      <c r="N396" s="31">
        <f>1395449.26+11151.09</f>
        <v>1406600.35</v>
      </c>
      <c r="O396" s="31">
        <v>0</v>
      </c>
      <c r="P396" s="31">
        <v>0</v>
      </c>
      <c r="Q396" s="31">
        <v>0</v>
      </c>
      <c r="R396" s="31">
        <v>0</v>
      </c>
      <c r="S396" s="31">
        <v>0</v>
      </c>
      <c r="T396" s="31">
        <v>0</v>
      </c>
      <c r="U396" s="31">
        <v>0</v>
      </c>
      <c r="V396" s="31">
        <v>0</v>
      </c>
      <c r="W396" s="31">
        <v>0</v>
      </c>
      <c r="X396" s="31">
        <v>0</v>
      </c>
      <c r="Y396" s="31">
        <v>0</v>
      </c>
      <c r="Z396" s="31">
        <v>0</v>
      </c>
      <c r="AA396" s="31">
        <v>0</v>
      </c>
      <c r="AB396" s="31">
        <v>0</v>
      </c>
      <c r="AC396" s="31">
        <f>ROUND(N396*1.5%,2)</f>
        <v>21099.01</v>
      </c>
      <c r="AD396" s="31">
        <v>120000</v>
      </c>
      <c r="AE396" s="31">
        <v>0</v>
      </c>
      <c r="AF396" s="34">
        <v>2020</v>
      </c>
      <c r="AG396" s="34">
        <v>2020</v>
      </c>
      <c r="AH396" s="35">
        <v>2020</v>
      </c>
      <c r="AT396" s="20" t="e">
        <f>VLOOKUP(C396,AW:AX,2,FALSE)</f>
        <v>#N/A</v>
      </c>
      <c r="BZ396" s="71"/>
      <c r="CD396" s="20">
        <f t="shared" si="48"/>
        <v>336.14</v>
      </c>
    </row>
    <row r="397" spans="1:82" ht="61.5" x14ac:dyDescent="0.85">
      <c r="B397" s="24" t="s">
        <v>861</v>
      </c>
      <c r="C397" s="24"/>
      <c r="D397" s="31">
        <f>SUM(D398:D401)</f>
        <v>7290181.6600000001</v>
      </c>
      <c r="E397" s="31">
        <f t="shared" ref="E397:AE397" si="65">SUM(E398:E401)</f>
        <v>0</v>
      </c>
      <c r="F397" s="31">
        <f t="shared" si="65"/>
        <v>0</v>
      </c>
      <c r="G397" s="31">
        <f t="shared" si="65"/>
        <v>0</v>
      </c>
      <c r="H397" s="31">
        <f t="shared" si="65"/>
        <v>0</v>
      </c>
      <c r="I397" s="31">
        <f t="shared" si="65"/>
        <v>0</v>
      </c>
      <c r="J397" s="31">
        <f t="shared" si="65"/>
        <v>0</v>
      </c>
      <c r="K397" s="33">
        <f t="shared" si="65"/>
        <v>0</v>
      </c>
      <c r="L397" s="31">
        <f t="shared" si="65"/>
        <v>0</v>
      </c>
      <c r="M397" s="31">
        <f t="shared" si="65"/>
        <v>542.66</v>
      </c>
      <c r="N397" s="31">
        <f t="shared" si="65"/>
        <v>2292353.0299999998</v>
      </c>
      <c r="O397" s="31">
        <f t="shared" si="65"/>
        <v>0</v>
      </c>
      <c r="P397" s="31">
        <f t="shared" si="65"/>
        <v>0</v>
      </c>
      <c r="Q397" s="31">
        <f t="shared" si="65"/>
        <v>921.59999999999991</v>
      </c>
      <c r="R397" s="31">
        <f t="shared" si="65"/>
        <v>3437480.3200000003</v>
      </c>
      <c r="S397" s="31">
        <f t="shared" si="65"/>
        <v>0</v>
      </c>
      <c r="T397" s="31">
        <f t="shared" si="65"/>
        <v>0</v>
      </c>
      <c r="U397" s="31">
        <f t="shared" si="65"/>
        <v>1266000</v>
      </c>
      <c r="V397" s="31">
        <f t="shared" si="65"/>
        <v>0</v>
      </c>
      <c r="W397" s="31">
        <f t="shared" si="65"/>
        <v>0</v>
      </c>
      <c r="X397" s="31">
        <f t="shared" si="65"/>
        <v>0</v>
      </c>
      <c r="Y397" s="31">
        <f t="shared" si="65"/>
        <v>0</v>
      </c>
      <c r="Z397" s="31">
        <f t="shared" si="65"/>
        <v>0</v>
      </c>
      <c r="AA397" s="31">
        <f t="shared" si="65"/>
        <v>0</v>
      </c>
      <c r="AB397" s="31">
        <f t="shared" si="65"/>
        <v>0</v>
      </c>
      <c r="AC397" s="31">
        <f t="shared" si="65"/>
        <v>104937.5</v>
      </c>
      <c r="AD397" s="31">
        <f t="shared" si="65"/>
        <v>189410.81</v>
      </c>
      <c r="AE397" s="31">
        <f t="shared" si="65"/>
        <v>0</v>
      </c>
      <c r="AF397" s="72" t="s">
        <v>776</v>
      </c>
      <c r="AG397" s="72" t="s">
        <v>776</v>
      </c>
      <c r="AH397" s="89" t="s">
        <v>776</v>
      </c>
      <c r="AT397" s="20" t="e">
        <f>VLOOKUP(C397,AW:AX,2,FALSE)</f>
        <v>#N/A</v>
      </c>
      <c r="BZ397" s="71">
        <v>7290181.6600000001</v>
      </c>
      <c r="CC397" s="31">
        <v>6271514.3100000005</v>
      </c>
      <c r="CD397" s="20" t="e">
        <f t="shared" si="48"/>
        <v>#N/A</v>
      </c>
    </row>
    <row r="398" spans="1:82" ht="61.5" x14ac:dyDescent="0.85">
      <c r="A398" s="20">
        <v>1</v>
      </c>
      <c r="B398" s="66">
        <f>SUBTOTAL(103,$A$22:A398)</f>
        <v>348</v>
      </c>
      <c r="C398" s="24" t="s">
        <v>186</v>
      </c>
      <c r="D398" s="31">
        <f>E398+F398+G398+H398+I398+J398+L398+N398+P398+R398+T398+U398+V398+W398+X398+Y398+Z398+AA398+AB398+AC398+AD398+AE398</f>
        <v>1659429.9100000001</v>
      </c>
      <c r="E398" s="31">
        <v>0</v>
      </c>
      <c r="F398" s="31">
        <v>0</v>
      </c>
      <c r="G398" s="31">
        <v>0</v>
      </c>
      <c r="H398" s="31">
        <v>0</v>
      </c>
      <c r="I398" s="31">
        <v>0</v>
      </c>
      <c r="J398" s="31">
        <v>0</v>
      </c>
      <c r="K398" s="33">
        <v>0</v>
      </c>
      <c r="L398" s="31">
        <v>0</v>
      </c>
      <c r="M398" s="31">
        <v>0</v>
      </c>
      <c r="N398" s="31">
        <v>0</v>
      </c>
      <c r="O398" s="31">
        <v>0</v>
      </c>
      <c r="P398" s="31">
        <v>0</v>
      </c>
      <c r="Q398" s="31">
        <v>403.2</v>
      </c>
      <c r="R398" s="31">
        <v>1546816.85</v>
      </c>
      <c r="S398" s="31">
        <v>0</v>
      </c>
      <c r="T398" s="31">
        <v>0</v>
      </c>
      <c r="U398" s="31">
        <v>0</v>
      </c>
      <c r="V398" s="31">
        <v>0</v>
      </c>
      <c r="W398" s="31">
        <v>0</v>
      </c>
      <c r="X398" s="31">
        <v>0</v>
      </c>
      <c r="Y398" s="31">
        <v>0</v>
      </c>
      <c r="Z398" s="31">
        <v>0</v>
      </c>
      <c r="AA398" s="31">
        <v>0</v>
      </c>
      <c r="AB398" s="31">
        <v>0</v>
      </c>
      <c r="AC398" s="31">
        <f>ROUND(R398*1.5%,2)</f>
        <v>23202.25</v>
      </c>
      <c r="AD398" s="31">
        <v>89410.81</v>
      </c>
      <c r="AE398" s="31">
        <v>0</v>
      </c>
      <c r="AF398" s="34">
        <v>2020</v>
      </c>
      <c r="AG398" s="34">
        <v>2020</v>
      </c>
      <c r="AH398" s="35">
        <v>2020</v>
      </c>
      <c r="AT398" s="20" t="e">
        <f>VLOOKUP(C398,AW:AX,2,FALSE)</f>
        <v>#N/A</v>
      </c>
      <c r="BZ398" s="71"/>
      <c r="CD398" s="20" t="e">
        <f t="shared" si="48"/>
        <v>#N/A</v>
      </c>
    </row>
    <row r="399" spans="1:82" ht="61.5" x14ac:dyDescent="0.85">
      <c r="A399" s="20">
        <v>1</v>
      </c>
      <c r="B399" s="66">
        <f>SUBTOTAL(103,$A$22:A399)</f>
        <v>349</v>
      </c>
      <c r="C399" s="24" t="s">
        <v>1259</v>
      </c>
      <c r="D399" s="31">
        <f>E399+F399+G399+H399+I399+J399+L399+N399+P399+R399+T399+U399+V399+W399+X399+Y399+Z399+AA399+AB399+AC399+AD399+AE399</f>
        <v>1919023.42</v>
      </c>
      <c r="E399" s="31">
        <v>0</v>
      </c>
      <c r="F399" s="31">
        <v>0</v>
      </c>
      <c r="G399" s="31">
        <v>0</v>
      </c>
      <c r="H399" s="31">
        <v>0</v>
      </c>
      <c r="I399" s="31">
        <v>0</v>
      </c>
      <c r="J399" s="31">
        <v>0</v>
      </c>
      <c r="K399" s="33">
        <v>0</v>
      </c>
      <c r="L399" s="31">
        <v>0</v>
      </c>
      <c r="M399" s="31">
        <v>0</v>
      </c>
      <c r="N399" s="31">
        <v>0</v>
      </c>
      <c r="O399" s="31">
        <v>0</v>
      </c>
      <c r="P399" s="31">
        <v>0</v>
      </c>
      <c r="Q399" s="31">
        <v>518.4</v>
      </c>
      <c r="R399" s="31">
        <v>1890663.47</v>
      </c>
      <c r="S399" s="31">
        <v>0</v>
      </c>
      <c r="T399" s="31">
        <v>0</v>
      </c>
      <c r="U399" s="31">
        <v>0</v>
      </c>
      <c r="V399" s="31">
        <v>0</v>
      </c>
      <c r="W399" s="31">
        <v>0</v>
      </c>
      <c r="X399" s="31">
        <v>0</v>
      </c>
      <c r="Y399" s="31">
        <v>0</v>
      </c>
      <c r="Z399" s="31">
        <v>0</v>
      </c>
      <c r="AA399" s="31">
        <v>0</v>
      </c>
      <c r="AB399" s="31">
        <v>0</v>
      </c>
      <c r="AC399" s="31">
        <f>ROUND(R399*1.5%,2)</f>
        <v>28359.95</v>
      </c>
      <c r="AD399" s="31">
        <v>0</v>
      </c>
      <c r="AE399" s="31">
        <v>0</v>
      </c>
      <c r="AF399" s="34" t="s">
        <v>274</v>
      </c>
      <c r="AG399" s="34">
        <v>2020</v>
      </c>
      <c r="AH399" s="35">
        <v>2020</v>
      </c>
      <c r="BZ399" s="71"/>
      <c r="CD399" s="20" t="e">
        <f t="shared" si="48"/>
        <v>#N/A</v>
      </c>
    </row>
    <row r="400" spans="1:82" ht="61.5" x14ac:dyDescent="0.85">
      <c r="A400" s="20">
        <v>1</v>
      </c>
      <c r="B400" s="66">
        <f>SUBTOTAL(103,$A$22:A400)</f>
        <v>350</v>
      </c>
      <c r="C400" s="24" t="s">
        <v>1260</v>
      </c>
      <c r="D400" s="31">
        <f>E400+F400+G400+H400+I400+J400+L400+N400+P400+R400+T400+U400+V400+W400+X400+Y400+Z400+AA400+AB400+AC400+AD400+AE400</f>
        <v>2326738.3299999996</v>
      </c>
      <c r="E400" s="31">
        <v>0</v>
      </c>
      <c r="F400" s="31">
        <v>0</v>
      </c>
      <c r="G400" s="31">
        <v>0</v>
      </c>
      <c r="H400" s="31">
        <v>0</v>
      </c>
      <c r="I400" s="31">
        <v>0</v>
      </c>
      <c r="J400" s="31">
        <v>0</v>
      </c>
      <c r="K400" s="33">
        <v>0</v>
      </c>
      <c r="L400" s="31">
        <v>0</v>
      </c>
      <c r="M400" s="31">
        <v>542.66</v>
      </c>
      <c r="N400" s="31">
        <v>2292353.0299999998</v>
      </c>
      <c r="O400" s="31">
        <v>0</v>
      </c>
      <c r="P400" s="31">
        <v>0</v>
      </c>
      <c r="Q400" s="31">
        <v>0</v>
      </c>
      <c r="R400" s="31">
        <v>0</v>
      </c>
      <c r="S400" s="31">
        <v>0</v>
      </c>
      <c r="T400" s="31">
        <v>0</v>
      </c>
      <c r="U400" s="31">
        <v>0</v>
      </c>
      <c r="V400" s="31">
        <v>0</v>
      </c>
      <c r="W400" s="31">
        <v>0</v>
      </c>
      <c r="X400" s="31">
        <v>0</v>
      </c>
      <c r="Y400" s="31">
        <v>0</v>
      </c>
      <c r="Z400" s="31">
        <v>0</v>
      </c>
      <c r="AA400" s="31">
        <v>0</v>
      </c>
      <c r="AB400" s="31">
        <v>0</v>
      </c>
      <c r="AC400" s="31">
        <f>ROUND(N400*1.5%,2)</f>
        <v>34385.300000000003</v>
      </c>
      <c r="AD400" s="31">
        <v>0</v>
      </c>
      <c r="AE400" s="31">
        <v>0</v>
      </c>
      <c r="AF400" s="34" t="s">
        <v>274</v>
      </c>
      <c r="AG400" s="34">
        <v>2020</v>
      </c>
      <c r="AH400" s="35">
        <v>2020</v>
      </c>
      <c r="BZ400" s="71"/>
      <c r="CD400" s="20">
        <f t="shared" si="48"/>
        <v>542.66</v>
      </c>
    </row>
    <row r="401" spans="1:82" ht="61.5" x14ac:dyDescent="0.85">
      <c r="A401" s="20">
        <v>1</v>
      </c>
      <c r="B401" s="66">
        <f>SUBTOTAL(103,$A$22:A401)</f>
        <v>351</v>
      </c>
      <c r="C401" s="24" t="s">
        <v>1623</v>
      </c>
      <c r="D401" s="31">
        <f>E401+F401+G401+H401+I401+J401+L401+N401+P401+R401+T401+U401+V401+W401+X401+Y401+Z401+AA401+AB401+AC401+AD401+AE401</f>
        <v>1384990</v>
      </c>
      <c r="E401" s="31">
        <v>0</v>
      </c>
      <c r="F401" s="31">
        <v>0</v>
      </c>
      <c r="G401" s="31">
        <v>0</v>
      </c>
      <c r="H401" s="31">
        <v>0</v>
      </c>
      <c r="I401" s="31">
        <v>0</v>
      </c>
      <c r="J401" s="31">
        <v>0</v>
      </c>
      <c r="K401" s="33">
        <v>0</v>
      </c>
      <c r="L401" s="31">
        <v>0</v>
      </c>
      <c r="M401" s="31">
        <v>0</v>
      </c>
      <c r="N401" s="31">
        <v>0</v>
      </c>
      <c r="O401" s="31">
        <v>0</v>
      </c>
      <c r="P401" s="31">
        <v>0</v>
      </c>
      <c r="Q401" s="31">
        <v>0</v>
      </c>
      <c r="R401" s="31">
        <v>0</v>
      </c>
      <c r="S401" s="31">
        <v>0</v>
      </c>
      <c r="T401" s="31">
        <v>0</v>
      </c>
      <c r="U401" s="31">
        <v>1266000</v>
      </c>
      <c r="V401" s="31">
        <v>0</v>
      </c>
      <c r="W401" s="31">
        <v>0</v>
      </c>
      <c r="X401" s="31">
        <v>0</v>
      </c>
      <c r="Y401" s="31">
        <v>0</v>
      </c>
      <c r="Z401" s="31">
        <v>0</v>
      </c>
      <c r="AA401" s="31">
        <v>0</v>
      </c>
      <c r="AB401" s="31">
        <v>0</v>
      </c>
      <c r="AC401" s="31">
        <f>ROUND(U401*1.5%,2)</f>
        <v>18990</v>
      </c>
      <c r="AD401" s="31">
        <v>100000</v>
      </c>
      <c r="AE401" s="31">
        <v>0</v>
      </c>
      <c r="AF401" s="34">
        <v>2020</v>
      </c>
      <c r="AG401" s="34">
        <v>2020</v>
      </c>
      <c r="AH401" s="35">
        <v>2020</v>
      </c>
      <c r="BZ401" s="71"/>
      <c r="CD401" s="20" t="e">
        <f t="shared" si="48"/>
        <v>#N/A</v>
      </c>
    </row>
    <row r="402" spans="1:82" ht="61.5" x14ac:dyDescent="0.85">
      <c r="B402" s="24" t="s">
        <v>896</v>
      </c>
      <c r="C402" s="24"/>
      <c r="D402" s="31">
        <f>D403</f>
        <v>3230853.85</v>
      </c>
      <c r="E402" s="31">
        <f t="shared" ref="E402:AE402" si="66">E403</f>
        <v>0</v>
      </c>
      <c r="F402" s="31">
        <f t="shared" si="66"/>
        <v>0</v>
      </c>
      <c r="G402" s="31">
        <f t="shared" si="66"/>
        <v>0</v>
      </c>
      <c r="H402" s="31">
        <f t="shared" si="66"/>
        <v>0</v>
      </c>
      <c r="I402" s="31">
        <f t="shared" si="66"/>
        <v>0</v>
      </c>
      <c r="J402" s="31">
        <f t="shared" si="66"/>
        <v>0</v>
      </c>
      <c r="K402" s="33">
        <f t="shared" si="66"/>
        <v>0</v>
      </c>
      <c r="L402" s="31">
        <f t="shared" si="66"/>
        <v>0</v>
      </c>
      <c r="M402" s="31">
        <f t="shared" si="66"/>
        <v>0</v>
      </c>
      <c r="N402" s="31">
        <f t="shared" si="66"/>
        <v>0</v>
      </c>
      <c r="O402" s="31">
        <f t="shared" si="66"/>
        <v>0</v>
      </c>
      <c r="P402" s="31">
        <f t="shared" si="66"/>
        <v>0</v>
      </c>
      <c r="Q402" s="31">
        <f t="shared" si="66"/>
        <v>702.56</v>
      </c>
      <c r="R402" s="31">
        <f t="shared" si="66"/>
        <v>3183342.46</v>
      </c>
      <c r="S402" s="31">
        <f t="shared" si="66"/>
        <v>0</v>
      </c>
      <c r="T402" s="31">
        <f t="shared" si="66"/>
        <v>0</v>
      </c>
      <c r="U402" s="31">
        <f t="shared" si="66"/>
        <v>0</v>
      </c>
      <c r="V402" s="31">
        <f t="shared" si="66"/>
        <v>0</v>
      </c>
      <c r="W402" s="31">
        <f t="shared" si="66"/>
        <v>0</v>
      </c>
      <c r="X402" s="31">
        <f t="shared" si="66"/>
        <v>0</v>
      </c>
      <c r="Y402" s="31">
        <f t="shared" si="66"/>
        <v>0</v>
      </c>
      <c r="Z402" s="31">
        <f t="shared" si="66"/>
        <v>0</v>
      </c>
      <c r="AA402" s="31">
        <f t="shared" si="66"/>
        <v>0</v>
      </c>
      <c r="AB402" s="31">
        <f t="shared" si="66"/>
        <v>0</v>
      </c>
      <c r="AC402" s="31">
        <f t="shared" si="66"/>
        <v>47511.39</v>
      </c>
      <c r="AD402" s="31">
        <f t="shared" si="66"/>
        <v>0</v>
      </c>
      <c r="AE402" s="31">
        <f t="shared" si="66"/>
        <v>0</v>
      </c>
      <c r="AF402" s="72" t="s">
        <v>776</v>
      </c>
      <c r="AG402" s="72" t="s">
        <v>776</v>
      </c>
      <c r="AH402" s="89" t="s">
        <v>776</v>
      </c>
      <c r="BZ402" s="71">
        <v>3230853.85</v>
      </c>
      <c r="CC402" s="31">
        <v>3334643.9899999998</v>
      </c>
      <c r="CD402" s="20" t="e">
        <f t="shared" si="48"/>
        <v>#N/A</v>
      </c>
    </row>
    <row r="403" spans="1:82" ht="61.5" x14ac:dyDescent="0.85">
      <c r="A403" s="20">
        <v>1</v>
      </c>
      <c r="B403" s="66">
        <f>SUBTOTAL(103,$A$22:A403)</f>
        <v>352</v>
      </c>
      <c r="C403" s="24" t="s">
        <v>1262</v>
      </c>
      <c r="D403" s="31">
        <f>E403+F403+G403+H403+I403+J403+L403+N403+P403+R403+T403+U403+V403+W403+X403+Y403+Z403+AA403+AB403+AC403+AD403+AE403</f>
        <v>3230853.85</v>
      </c>
      <c r="E403" s="31">
        <v>0</v>
      </c>
      <c r="F403" s="31">
        <v>0</v>
      </c>
      <c r="G403" s="31">
        <v>0</v>
      </c>
      <c r="H403" s="31">
        <v>0</v>
      </c>
      <c r="I403" s="31">
        <v>0</v>
      </c>
      <c r="J403" s="31">
        <v>0</v>
      </c>
      <c r="K403" s="33">
        <v>0</v>
      </c>
      <c r="L403" s="31">
        <v>0</v>
      </c>
      <c r="M403" s="31">
        <v>0</v>
      </c>
      <c r="N403" s="31">
        <v>0</v>
      </c>
      <c r="O403" s="31">
        <v>0</v>
      </c>
      <c r="P403" s="31">
        <v>0</v>
      </c>
      <c r="Q403" s="31">
        <v>702.56</v>
      </c>
      <c r="R403" s="31">
        <v>3183342.46</v>
      </c>
      <c r="S403" s="31">
        <v>0</v>
      </c>
      <c r="T403" s="31">
        <v>0</v>
      </c>
      <c r="U403" s="31">
        <v>0</v>
      </c>
      <c r="V403" s="31">
        <v>0</v>
      </c>
      <c r="W403" s="31">
        <v>0</v>
      </c>
      <c r="X403" s="31">
        <v>0</v>
      </c>
      <c r="Y403" s="31">
        <v>0</v>
      </c>
      <c r="Z403" s="31">
        <v>0</v>
      </c>
      <c r="AA403" s="31">
        <v>0</v>
      </c>
      <c r="AB403" s="31">
        <v>0</v>
      </c>
      <c r="AC403" s="31">
        <f>ROUND(R403*1.4925%,2)</f>
        <v>47511.39</v>
      </c>
      <c r="AD403" s="31">
        <v>0</v>
      </c>
      <c r="AE403" s="31">
        <v>0</v>
      </c>
      <c r="AF403" s="34" t="s">
        <v>274</v>
      </c>
      <c r="AG403" s="34">
        <v>2020</v>
      </c>
      <c r="AH403" s="35">
        <v>2020</v>
      </c>
      <c r="BZ403" s="71"/>
      <c r="CD403" s="20" t="e">
        <f t="shared" si="48"/>
        <v>#N/A</v>
      </c>
    </row>
    <row r="404" spans="1:82" ht="61.5" x14ac:dyDescent="0.85">
      <c r="B404" s="24" t="s">
        <v>863</v>
      </c>
      <c r="C404" s="166"/>
      <c r="D404" s="31">
        <f>SUM(D405:D410)</f>
        <v>22440468.149999999</v>
      </c>
      <c r="E404" s="31">
        <f t="shared" ref="E404:AE404" si="67">SUM(E405:E410)</f>
        <v>625886.11</v>
      </c>
      <c r="F404" s="31">
        <f t="shared" si="67"/>
        <v>840053.29</v>
      </c>
      <c r="G404" s="31">
        <f t="shared" si="67"/>
        <v>2063192.52</v>
      </c>
      <c r="H404" s="31">
        <f t="shared" si="67"/>
        <v>0</v>
      </c>
      <c r="I404" s="31">
        <f t="shared" si="67"/>
        <v>0</v>
      </c>
      <c r="J404" s="31">
        <f t="shared" si="67"/>
        <v>0</v>
      </c>
      <c r="K404" s="33">
        <f t="shared" si="67"/>
        <v>0</v>
      </c>
      <c r="L404" s="31">
        <f t="shared" si="67"/>
        <v>0</v>
      </c>
      <c r="M404" s="31">
        <f t="shared" si="67"/>
        <v>3658.2</v>
      </c>
      <c r="N404" s="31">
        <f t="shared" si="67"/>
        <v>18075089.379999999</v>
      </c>
      <c r="O404" s="31">
        <f t="shared" si="67"/>
        <v>0</v>
      </c>
      <c r="P404" s="31">
        <f t="shared" si="67"/>
        <v>0</v>
      </c>
      <c r="Q404" s="31">
        <f t="shared" si="67"/>
        <v>0</v>
      </c>
      <c r="R404" s="31">
        <f t="shared" si="67"/>
        <v>0</v>
      </c>
      <c r="S404" s="31">
        <f t="shared" si="67"/>
        <v>0</v>
      </c>
      <c r="T404" s="31">
        <f t="shared" si="67"/>
        <v>0</v>
      </c>
      <c r="U404" s="31">
        <f t="shared" si="67"/>
        <v>0</v>
      </c>
      <c r="V404" s="31">
        <f t="shared" si="67"/>
        <v>0</v>
      </c>
      <c r="W404" s="31">
        <f t="shared" si="67"/>
        <v>0</v>
      </c>
      <c r="X404" s="31">
        <f t="shared" si="67"/>
        <v>0</v>
      </c>
      <c r="Y404" s="31">
        <f t="shared" si="67"/>
        <v>0</v>
      </c>
      <c r="Z404" s="31">
        <f t="shared" si="67"/>
        <v>0</v>
      </c>
      <c r="AA404" s="31">
        <f t="shared" si="67"/>
        <v>0</v>
      </c>
      <c r="AB404" s="31">
        <f t="shared" si="67"/>
        <v>0</v>
      </c>
      <c r="AC404" s="31">
        <f t="shared" si="67"/>
        <v>324063.33000000007</v>
      </c>
      <c r="AD404" s="31">
        <f t="shared" si="67"/>
        <v>512183.52</v>
      </c>
      <c r="AE404" s="31">
        <f t="shared" si="67"/>
        <v>0</v>
      </c>
      <c r="AF404" s="72" t="s">
        <v>776</v>
      </c>
      <c r="AG404" s="72" t="s">
        <v>776</v>
      </c>
      <c r="AH404" s="89" t="s">
        <v>776</v>
      </c>
      <c r="AT404" s="20" t="e">
        <f>VLOOKUP(C404,AW:AX,2,FALSE)</f>
        <v>#N/A</v>
      </c>
      <c r="BZ404" s="71">
        <v>22440468.149999999</v>
      </c>
      <c r="CD404" s="20" t="e">
        <f t="shared" si="48"/>
        <v>#N/A</v>
      </c>
    </row>
    <row r="405" spans="1:82" ht="61.5" x14ac:dyDescent="0.85">
      <c r="A405" s="20">
        <v>1</v>
      </c>
      <c r="B405" s="66">
        <f>SUBTOTAL(103,$A$22:A405)</f>
        <v>353</v>
      </c>
      <c r="C405" s="24" t="s">
        <v>75</v>
      </c>
      <c r="D405" s="31">
        <f t="shared" ref="D405:D410" si="68">E405+F405+G405+H405+I405+J405+L405+N405+P405+R405+T405+U405+V405+W405+X405+Y405+Z405+AA405+AB405+AC405+AD405+AE405</f>
        <v>3581561.29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3">
        <v>0</v>
      </c>
      <c r="L405" s="31">
        <v>0</v>
      </c>
      <c r="M405" s="31">
        <v>625</v>
      </c>
      <c r="N405" s="31">
        <f>3256583.9+124268.75-4.09</f>
        <v>3380848.56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f>ROUND(N405*1.5%,2)</f>
        <v>50712.73</v>
      </c>
      <c r="AD405" s="31">
        <v>150000</v>
      </c>
      <c r="AE405" s="31">
        <v>0</v>
      </c>
      <c r="AF405" s="34">
        <v>2020</v>
      </c>
      <c r="AG405" s="34">
        <v>2020</v>
      </c>
      <c r="AH405" s="35">
        <v>2020</v>
      </c>
      <c r="AT405" s="20" t="e">
        <f>VLOOKUP(C405,AW:AX,2,FALSE)</f>
        <v>#N/A</v>
      </c>
      <c r="BZ405" s="71"/>
      <c r="CD405" s="20" t="e">
        <f t="shared" si="48"/>
        <v>#N/A</v>
      </c>
    </row>
    <row r="406" spans="1:82" ht="61.5" x14ac:dyDescent="0.85">
      <c r="A406" s="20">
        <v>1</v>
      </c>
      <c r="B406" s="66">
        <f>SUBTOTAL(103,$A$22:A406)</f>
        <v>354</v>
      </c>
      <c r="C406" s="24" t="s">
        <v>74</v>
      </c>
      <c r="D406" s="31">
        <f t="shared" si="68"/>
        <v>3148625.32</v>
      </c>
      <c r="E406" s="31">
        <v>0</v>
      </c>
      <c r="F406" s="31">
        <v>0</v>
      </c>
      <c r="G406" s="31">
        <v>0</v>
      </c>
      <c r="H406" s="31">
        <v>0</v>
      </c>
      <c r="I406" s="31">
        <v>0</v>
      </c>
      <c r="J406" s="31">
        <v>0</v>
      </c>
      <c r="K406" s="33">
        <v>0</v>
      </c>
      <c r="L406" s="31">
        <v>0</v>
      </c>
      <c r="M406" s="31">
        <v>504</v>
      </c>
      <c r="N406" s="31">
        <f>2854100.34+100210.32</f>
        <v>2954310.6599999997</v>
      </c>
      <c r="O406" s="31">
        <v>0</v>
      </c>
      <c r="P406" s="31">
        <v>0</v>
      </c>
      <c r="Q406" s="31">
        <v>0</v>
      </c>
      <c r="R406" s="31">
        <v>0</v>
      </c>
      <c r="S406" s="31">
        <v>0</v>
      </c>
      <c r="T406" s="31">
        <v>0</v>
      </c>
      <c r="U406" s="31">
        <v>0</v>
      </c>
      <c r="V406" s="31">
        <v>0</v>
      </c>
      <c r="W406" s="31">
        <v>0</v>
      </c>
      <c r="X406" s="31">
        <v>0</v>
      </c>
      <c r="Y406" s="31">
        <v>0</v>
      </c>
      <c r="Z406" s="31">
        <v>0</v>
      </c>
      <c r="AA406" s="31">
        <v>0</v>
      </c>
      <c r="AB406" s="31">
        <v>0</v>
      </c>
      <c r="AC406" s="31">
        <f>ROUND(N406*1.5%,2)</f>
        <v>44314.66</v>
      </c>
      <c r="AD406" s="31">
        <v>150000</v>
      </c>
      <c r="AE406" s="31">
        <v>0</v>
      </c>
      <c r="AF406" s="34">
        <v>2020</v>
      </c>
      <c r="AG406" s="34">
        <v>2020</v>
      </c>
      <c r="AH406" s="35">
        <v>2020</v>
      </c>
      <c r="AT406" s="20" t="e">
        <f>VLOOKUP(C406,AW:AX,2,FALSE)</f>
        <v>#N/A</v>
      </c>
      <c r="BZ406" s="71"/>
      <c r="CD406" s="20" t="e">
        <f t="shared" si="48"/>
        <v>#N/A</v>
      </c>
    </row>
    <row r="407" spans="1:82" ht="61.5" x14ac:dyDescent="0.85">
      <c r="A407" s="20">
        <v>1</v>
      </c>
      <c r="B407" s="66">
        <f>SUBTOTAL(103,$A$22:A407)</f>
        <v>355</v>
      </c>
      <c r="C407" s="24" t="s">
        <v>76</v>
      </c>
      <c r="D407" s="31">
        <f t="shared" si="68"/>
        <v>5571953.8200000003</v>
      </c>
      <c r="E407" s="31">
        <v>0</v>
      </c>
      <c r="F407" s="31">
        <v>0</v>
      </c>
      <c r="G407" s="31">
        <v>0</v>
      </c>
      <c r="H407" s="31">
        <v>0</v>
      </c>
      <c r="I407" s="31">
        <v>0</v>
      </c>
      <c r="J407" s="31">
        <v>0</v>
      </c>
      <c r="K407" s="33">
        <v>0</v>
      </c>
      <c r="L407" s="31">
        <v>0</v>
      </c>
      <c r="M407" s="31">
        <v>954</v>
      </c>
      <c r="N407" s="31">
        <f>5152142.6+189683.82</f>
        <v>5341826.42</v>
      </c>
      <c r="O407" s="31">
        <v>0</v>
      </c>
      <c r="P407" s="31">
        <v>0</v>
      </c>
      <c r="Q407" s="31">
        <v>0</v>
      </c>
      <c r="R407" s="31">
        <v>0</v>
      </c>
      <c r="S407" s="31">
        <v>0</v>
      </c>
      <c r="T407" s="31">
        <v>0</v>
      </c>
      <c r="U407" s="31">
        <v>0</v>
      </c>
      <c r="V407" s="31">
        <v>0</v>
      </c>
      <c r="W407" s="31">
        <v>0</v>
      </c>
      <c r="X407" s="31">
        <v>0</v>
      </c>
      <c r="Y407" s="31">
        <v>0</v>
      </c>
      <c r="Z407" s="31">
        <v>0</v>
      </c>
      <c r="AA407" s="31">
        <v>0</v>
      </c>
      <c r="AB407" s="31">
        <v>0</v>
      </c>
      <c r="AC407" s="31">
        <f>ROUND(N407*1.5%,2)</f>
        <v>80127.399999999994</v>
      </c>
      <c r="AD407" s="31">
        <v>150000</v>
      </c>
      <c r="AE407" s="31">
        <v>0</v>
      </c>
      <c r="AF407" s="34">
        <v>2020</v>
      </c>
      <c r="AG407" s="34">
        <v>2020</v>
      </c>
      <c r="AH407" s="35">
        <v>2020</v>
      </c>
      <c r="AT407" s="20" t="e">
        <f>VLOOKUP(C407,AW:AX,2,FALSE)</f>
        <v>#N/A</v>
      </c>
      <c r="BZ407" s="71"/>
      <c r="CD407" s="20" t="e">
        <f t="shared" ref="CD407:CD470" si="69">VLOOKUP(C407,CE:CF,2,FALSE)</f>
        <v>#N/A</v>
      </c>
    </row>
    <row r="408" spans="1:82" ht="61.5" x14ac:dyDescent="0.85">
      <c r="A408" s="20">
        <v>1</v>
      </c>
      <c r="B408" s="66">
        <f>SUBTOTAL(103,$A$22:A408)</f>
        <v>356</v>
      </c>
      <c r="C408" s="24" t="s">
        <v>1263</v>
      </c>
      <c r="D408" s="31">
        <f t="shared" si="68"/>
        <v>3582068.9</v>
      </c>
      <c r="E408" s="31">
        <v>625886.11</v>
      </c>
      <c r="F408" s="31">
        <v>840053.29</v>
      </c>
      <c r="G408" s="31">
        <v>2063192.52</v>
      </c>
      <c r="H408" s="31">
        <v>0</v>
      </c>
      <c r="I408" s="31">
        <v>0</v>
      </c>
      <c r="J408" s="31">
        <v>0</v>
      </c>
      <c r="K408" s="33">
        <v>0</v>
      </c>
      <c r="L408" s="31">
        <v>0</v>
      </c>
      <c r="M408" s="31">
        <v>0</v>
      </c>
      <c r="N408" s="31">
        <v>0</v>
      </c>
      <c r="O408" s="31">
        <v>0</v>
      </c>
      <c r="P408" s="31">
        <v>0</v>
      </c>
      <c r="Q408" s="31">
        <v>0</v>
      </c>
      <c r="R408" s="31">
        <v>0</v>
      </c>
      <c r="S408" s="31">
        <v>0</v>
      </c>
      <c r="T408" s="31">
        <v>0</v>
      </c>
      <c r="U408" s="31">
        <v>0</v>
      </c>
      <c r="V408" s="31">
        <v>0</v>
      </c>
      <c r="W408" s="31">
        <v>0</v>
      </c>
      <c r="X408" s="31">
        <v>0</v>
      </c>
      <c r="Y408" s="31">
        <v>0</v>
      </c>
      <c r="Z408" s="31">
        <v>0</v>
      </c>
      <c r="AA408" s="31">
        <v>0</v>
      </c>
      <c r="AB408" s="31">
        <v>0</v>
      </c>
      <c r="AC408" s="31">
        <f>ROUND((E408+F408+G408+H408+I408+J408)*1.5%,2)</f>
        <v>52936.98</v>
      </c>
      <c r="AD408" s="31">
        <v>0</v>
      </c>
      <c r="AE408" s="31">
        <v>0</v>
      </c>
      <c r="AF408" s="34" t="s">
        <v>274</v>
      </c>
      <c r="AG408" s="34">
        <v>2020</v>
      </c>
      <c r="AH408" s="35">
        <v>2020</v>
      </c>
      <c r="BZ408" s="71"/>
      <c r="CD408" s="20" t="e">
        <f t="shared" si="69"/>
        <v>#N/A</v>
      </c>
    </row>
    <row r="409" spans="1:82" ht="61.5" x14ac:dyDescent="0.85">
      <c r="A409" s="20">
        <v>1</v>
      </c>
      <c r="B409" s="66">
        <f>SUBTOTAL(103,$A$22:A409)</f>
        <v>357</v>
      </c>
      <c r="C409" s="24" t="s">
        <v>1264</v>
      </c>
      <c r="D409" s="31">
        <f t="shared" si="68"/>
        <v>4162144.7199999997</v>
      </c>
      <c r="E409" s="31">
        <v>0</v>
      </c>
      <c r="F409" s="31">
        <v>0</v>
      </c>
      <c r="G409" s="31">
        <v>0</v>
      </c>
      <c r="H409" s="31">
        <v>0</v>
      </c>
      <c r="I409" s="31">
        <v>0</v>
      </c>
      <c r="J409" s="31">
        <v>0</v>
      </c>
      <c r="K409" s="33">
        <v>0</v>
      </c>
      <c r="L409" s="31">
        <v>0</v>
      </c>
      <c r="M409" s="31">
        <v>975.2</v>
      </c>
      <c r="N409" s="31">
        <f>3821158.38+279476.81</f>
        <v>4100635.19</v>
      </c>
      <c r="O409" s="31">
        <v>0</v>
      </c>
      <c r="P409" s="31">
        <v>0</v>
      </c>
      <c r="Q409" s="31">
        <v>0</v>
      </c>
      <c r="R409" s="31">
        <v>0</v>
      </c>
      <c r="S409" s="31">
        <v>0</v>
      </c>
      <c r="T409" s="31">
        <v>0</v>
      </c>
      <c r="U409" s="31">
        <v>0</v>
      </c>
      <c r="V409" s="31">
        <v>0</v>
      </c>
      <c r="W409" s="31">
        <v>0</v>
      </c>
      <c r="X409" s="31">
        <v>0</v>
      </c>
      <c r="Y409" s="31">
        <v>0</v>
      </c>
      <c r="Z409" s="31">
        <v>0</v>
      </c>
      <c r="AA409" s="31">
        <v>0</v>
      </c>
      <c r="AB409" s="31">
        <v>0</v>
      </c>
      <c r="AC409" s="31">
        <f>ROUND(N409*1.5%,2)</f>
        <v>61509.53</v>
      </c>
      <c r="AD409" s="31">
        <v>0</v>
      </c>
      <c r="AE409" s="31">
        <v>0</v>
      </c>
      <c r="AF409" s="34" t="s">
        <v>274</v>
      </c>
      <c r="AG409" s="34">
        <v>2020</v>
      </c>
      <c r="AH409" s="35">
        <v>2020</v>
      </c>
      <c r="BZ409" s="71"/>
      <c r="CD409" s="20">
        <f t="shared" si="69"/>
        <v>975.2</v>
      </c>
    </row>
    <row r="410" spans="1:82" ht="61.5" x14ac:dyDescent="0.85">
      <c r="A410" s="20">
        <v>1</v>
      </c>
      <c r="B410" s="66">
        <f>SUBTOTAL(103,$A$22:A410)</f>
        <v>358</v>
      </c>
      <c r="C410" s="24" t="s">
        <v>1265</v>
      </c>
      <c r="D410" s="31">
        <f t="shared" si="68"/>
        <v>2394114.0999999996</v>
      </c>
      <c r="E410" s="31">
        <v>0</v>
      </c>
      <c r="F410" s="31">
        <v>0</v>
      </c>
      <c r="G410" s="31">
        <v>0</v>
      </c>
      <c r="H410" s="31">
        <v>0</v>
      </c>
      <c r="I410" s="31">
        <v>0</v>
      </c>
      <c r="J410" s="31">
        <v>0</v>
      </c>
      <c r="K410" s="33">
        <v>0</v>
      </c>
      <c r="L410" s="31">
        <v>0</v>
      </c>
      <c r="M410" s="31">
        <v>600</v>
      </c>
      <c r="N410" s="31">
        <v>2297468.5499999998</v>
      </c>
      <c r="O410" s="31">
        <v>0</v>
      </c>
      <c r="P410" s="31">
        <v>0</v>
      </c>
      <c r="Q410" s="31">
        <v>0</v>
      </c>
      <c r="R410" s="31">
        <v>0</v>
      </c>
      <c r="S410" s="31">
        <v>0</v>
      </c>
      <c r="T410" s="31">
        <v>0</v>
      </c>
      <c r="U410" s="31">
        <v>0</v>
      </c>
      <c r="V410" s="31">
        <v>0</v>
      </c>
      <c r="W410" s="31">
        <v>0</v>
      </c>
      <c r="X410" s="31">
        <v>0</v>
      </c>
      <c r="Y410" s="31">
        <v>0</v>
      </c>
      <c r="Z410" s="31">
        <v>0</v>
      </c>
      <c r="AA410" s="31">
        <v>0</v>
      </c>
      <c r="AB410" s="31">
        <v>0</v>
      </c>
      <c r="AC410" s="31">
        <f>ROUND(N410*1.5%,2)</f>
        <v>34462.03</v>
      </c>
      <c r="AD410" s="31">
        <v>62183.519999999997</v>
      </c>
      <c r="AE410" s="31">
        <v>0</v>
      </c>
      <c r="AF410" s="34">
        <v>2020</v>
      </c>
      <c r="AG410" s="34">
        <v>2020</v>
      </c>
      <c r="AH410" s="35">
        <v>2020</v>
      </c>
      <c r="BZ410" s="71"/>
      <c r="CD410" s="20">
        <f t="shared" si="69"/>
        <v>600</v>
      </c>
    </row>
    <row r="411" spans="1:82" ht="61.5" x14ac:dyDescent="0.85">
      <c r="B411" s="24" t="s">
        <v>864</v>
      </c>
      <c r="C411" s="24"/>
      <c r="D411" s="31">
        <f>D412</f>
        <v>3182125.2199999997</v>
      </c>
      <c r="E411" s="31">
        <f t="shared" ref="E411:AE411" si="70">E412</f>
        <v>0</v>
      </c>
      <c r="F411" s="31">
        <f t="shared" si="70"/>
        <v>0</v>
      </c>
      <c r="G411" s="31">
        <f t="shared" si="70"/>
        <v>0</v>
      </c>
      <c r="H411" s="31">
        <f t="shared" si="70"/>
        <v>0</v>
      </c>
      <c r="I411" s="31">
        <f t="shared" si="70"/>
        <v>0</v>
      </c>
      <c r="J411" s="31">
        <f t="shared" si="70"/>
        <v>0</v>
      </c>
      <c r="K411" s="33">
        <f t="shared" si="70"/>
        <v>0</v>
      </c>
      <c r="L411" s="31">
        <f t="shared" si="70"/>
        <v>0</v>
      </c>
      <c r="M411" s="31">
        <f t="shared" si="70"/>
        <v>598</v>
      </c>
      <c r="N411" s="31">
        <f t="shared" si="70"/>
        <v>2987162.5</v>
      </c>
      <c r="O411" s="31">
        <f t="shared" si="70"/>
        <v>0</v>
      </c>
      <c r="P411" s="31">
        <f t="shared" si="70"/>
        <v>0</v>
      </c>
      <c r="Q411" s="31">
        <f t="shared" si="70"/>
        <v>0</v>
      </c>
      <c r="R411" s="31">
        <f t="shared" si="70"/>
        <v>0</v>
      </c>
      <c r="S411" s="31">
        <f t="shared" si="70"/>
        <v>0</v>
      </c>
      <c r="T411" s="31">
        <f t="shared" si="70"/>
        <v>0</v>
      </c>
      <c r="U411" s="31">
        <f t="shared" si="70"/>
        <v>0</v>
      </c>
      <c r="V411" s="31">
        <f t="shared" si="70"/>
        <v>0</v>
      </c>
      <c r="W411" s="31">
        <f t="shared" si="70"/>
        <v>0</v>
      </c>
      <c r="X411" s="31">
        <f t="shared" si="70"/>
        <v>0</v>
      </c>
      <c r="Y411" s="31">
        <f t="shared" si="70"/>
        <v>0</v>
      </c>
      <c r="Z411" s="31">
        <f t="shared" si="70"/>
        <v>0</v>
      </c>
      <c r="AA411" s="31">
        <f t="shared" si="70"/>
        <v>0</v>
      </c>
      <c r="AB411" s="31">
        <f t="shared" si="70"/>
        <v>0</v>
      </c>
      <c r="AC411" s="31">
        <f t="shared" si="70"/>
        <v>44807.44</v>
      </c>
      <c r="AD411" s="31">
        <f t="shared" si="70"/>
        <v>150155.28</v>
      </c>
      <c r="AE411" s="31">
        <f t="shared" si="70"/>
        <v>0</v>
      </c>
      <c r="AF411" s="72" t="s">
        <v>776</v>
      </c>
      <c r="AG411" s="72" t="s">
        <v>776</v>
      </c>
      <c r="AH411" s="89" t="s">
        <v>776</v>
      </c>
      <c r="AT411" s="20" t="e">
        <f>VLOOKUP(C411,AW:AX,2,FALSE)</f>
        <v>#N/A</v>
      </c>
      <c r="BZ411" s="71">
        <v>3182125.2199999997</v>
      </c>
      <c r="CD411" s="20" t="e">
        <f t="shared" si="69"/>
        <v>#N/A</v>
      </c>
    </row>
    <row r="412" spans="1:82" ht="61.5" x14ac:dyDescent="0.85">
      <c r="A412" s="20">
        <v>1</v>
      </c>
      <c r="B412" s="66">
        <f>SUBTOTAL(103,$A$22:A412)</f>
        <v>359</v>
      </c>
      <c r="C412" s="24" t="s">
        <v>77</v>
      </c>
      <c r="D412" s="31">
        <f>E412+F412+G412+H412+I412+J412+L412+N412+P412+R412+T412+U412+V412+W412+X412+Y412+Z412+AA412+AB412+AC412+AD412+AE412</f>
        <v>3182125.2199999997</v>
      </c>
      <c r="E412" s="31">
        <v>0</v>
      </c>
      <c r="F412" s="31">
        <v>0</v>
      </c>
      <c r="G412" s="31">
        <v>0</v>
      </c>
      <c r="H412" s="31">
        <v>0</v>
      </c>
      <c r="I412" s="31">
        <v>0</v>
      </c>
      <c r="J412" s="31">
        <v>0</v>
      </c>
      <c r="K412" s="33">
        <v>0</v>
      </c>
      <c r="L412" s="31">
        <v>0</v>
      </c>
      <c r="M412" s="31">
        <v>598</v>
      </c>
      <c r="N412" s="31">
        <f>2882285.69+104876.81</f>
        <v>2987162.5</v>
      </c>
      <c r="O412" s="31">
        <v>0</v>
      </c>
      <c r="P412" s="31">
        <v>0</v>
      </c>
      <c r="Q412" s="31">
        <v>0</v>
      </c>
      <c r="R412" s="31">
        <v>0</v>
      </c>
      <c r="S412" s="31">
        <v>0</v>
      </c>
      <c r="T412" s="31">
        <v>0</v>
      </c>
      <c r="U412" s="31">
        <v>0</v>
      </c>
      <c r="V412" s="31">
        <v>0</v>
      </c>
      <c r="W412" s="31">
        <v>0</v>
      </c>
      <c r="X412" s="31">
        <v>0</v>
      </c>
      <c r="Y412" s="31">
        <v>0</v>
      </c>
      <c r="Z412" s="31">
        <v>0</v>
      </c>
      <c r="AA412" s="31">
        <v>0</v>
      </c>
      <c r="AB412" s="31">
        <v>0</v>
      </c>
      <c r="AC412" s="31">
        <f>ROUND(N412*1.5%,2)</f>
        <v>44807.44</v>
      </c>
      <c r="AD412" s="31">
        <f>150000+155.28</f>
        <v>150155.28</v>
      </c>
      <c r="AE412" s="31">
        <v>0</v>
      </c>
      <c r="AF412" s="34">
        <v>2020</v>
      </c>
      <c r="AG412" s="34">
        <v>2020</v>
      </c>
      <c r="AH412" s="35">
        <v>2020</v>
      </c>
      <c r="AT412" s="20" t="e">
        <f>VLOOKUP(C412,AW:AX,2,FALSE)</f>
        <v>#N/A</v>
      </c>
      <c r="BZ412" s="71"/>
      <c r="CD412" s="20" t="e">
        <f t="shared" si="69"/>
        <v>#N/A</v>
      </c>
    </row>
    <row r="413" spans="1:82" ht="61.5" x14ac:dyDescent="0.85">
      <c r="B413" s="24" t="s">
        <v>897</v>
      </c>
      <c r="C413" s="24"/>
      <c r="D413" s="31">
        <f>D414</f>
        <v>522383.64</v>
      </c>
      <c r="E413" s="31">
        <f t="shared" ref="E413:AE413" si="71">E414</f>
        <v>0</v>
      </c>
      <c r="F413" s="31">
        <f t="shared" si="71"/>
        <v>0</v>
      </c>
      <c r="G413" s="31">
        <f t="shared" si="71"/>
        <v>0</v>
      </c>
      <c r="H413" s="31">
        <f t="shared" si="71"/>
        <v>514663.67999999999</v>
      </c>
      <c r="I413" s="31">
        <f t="shared" si="71"/>
        <v>0</v>
      </c>
      <c r="J413" s="31">
        <f t="shared" si="71"/>
        <v>0</v>
      </c>
      <c r="K413" s="33">
        <f t="shared" si="71"/>
        <v>0</v>
      </c>
      <c r="L413" s="31">
        <f t="shared" si="71"/>
        <v>0</v>
      </c>
      <c r="M413" s="31">
        <f t="shared" si="71"/>
        <v>0</v>
      </c>
      <c r="N413" s="31">
        <f t="shared" si="71"/>
        <v>0</v>
      </c>
      <c r="O413" s="31">
        <f t="shared" si="71"/>
        <v>0</v>
      </c>
      <c r="P413" s="31">
        <f t="shared" si="71"/>
        <v>0</v>
      </c>
      <c r="Q413" s="31">
        <f t="shared" si="71"/>
        <v>0</v>
      </c>
      <c r="R413" s="31">
        <f t="shared" si="71"/>
        <v>0</v>
      </c>
      <c r="S413" s="31">
        <f t="shared" si="71"/>
        <v>0</v>
      </c>
      <c r="T413" s="31">
        <f t="shared" si="71"/>
        <v>0</v>
      </c>
      <c r="U413" s="31">
        <f t="shared" si="71"/>
        <v>0</v>
      </c>
      <c r="V413" s="31">
        <f t="shared" si="71"/>
        <v>0</v>
      </c>
      <c r="W413" s="31">
        <f t="shared" si="71"/>
        <v>0</v>
      </c>
      <c r="X413" s="31">
        <f t="shared" si="71"/>
        <v>0</v>
      </c>
      <c r="Y413" s="31">
        <f t="shared" si="71"/>
        <v>0</v>
      </c>
      <c r="Z413" s="31">
        <f t="shared" si="71"/>
        <v>0</v>
      </c>
      <c r="AA413" s="31">
        <f t="shared" si="71"/>
        <v>0</v>
      </c>
      <c r="AB413" s="31">
        <f t="shared" si="71"/>
        <v>0</v>
      </c>
      <c r="AC413" s="31">
        <f t="shared" si="71"/>
        <v>7719.96</v>
      </c>
      <c r="AD413" s="31">
        <f t="shared" si="71"/>
        <v>0</v>
      </c>
      <c r="AE413" s="31">
        <f t="shared" si="71"/>
        <v>0</v>
      </c>
      <c r="AF413" s="72" t="s">
        <v>776</v>
      </c>
      <c r="AG413" s="72" t="s">
        <v>776</v>
      </c>
      <c r="AH413" s="89" t="s">
        <v>776</v>
      </c>
      <c r="BZ413" s="71">
        <v>522383.64</v>
      </c>
      <c r="CD413" s="20" t="e">
        <f t="shared" si="69"/>
        <v>#N/A</v>
      </c>
    </row>
    <row r="414" spans="1:82" ht="61.5" x14ac:dyDescent="0.85">
      <c r="A414" s="20">
        <v>1</v>
      </c>
      <c r="B414" s="66">
        <f>SUBTOTAL(103,$A$22:A414)</f>
        <v>360</v>
      </c>
      <c r="C414" s="24" t="s">
        <v>1266</v>
      </c>
      <c r="D414" s="31">
        <f>E414+F414+G414+H414+I414+J414+L414+N414+P414+R414+T414+U414+V414+W414+X414+Y414+Z414+AA414+AB414+AC414+AD414+AE414</f>
        <v>522383.64</v>
      </c>
      <c r="E414" s="31">
        <v>0</v>
      </c>
      <c r="F414" s="31">
        <v>0</v>
      </c>
      <c r="G414" s="31">
        <v>0</v>
      </c>
      <c r="H414" s="31">
        <v>514663.67999999999</v>
      </c>
      <c r="I414" s="31">
        <v>0</v>
      </c>
      <c r="J414" s="31">
        <v>0</v>
      </c>
      <c r="K414" s="33">
        <v>0</v>
      </c>
      <c r="L414" s="31">
        <v>0</v>
      </c>
      <c r="M414" s="31">
        <v>0</v>
      </c>
      <c r="N414" s="31">
        <v>0</v>
      </c>
      <c r="O414" s="31">
        <v>0</v>
      </c>
      <c r="P414" s="31">
        <v>0</v>
      </c>
      <c r="Q414" s="31">
        <v>0</v>
      </c>
      <c r="R414" s="31">
        <v>0</v>
      </c>
      <c r="S414" s="31">
        <v>0</v>
      </c>
      <c r="T414" s="31">
        <v>0</v>
      </c>
      <c r="U414" s="31">
        <v>0</v>
      </c>
      <c r="V414" s="31">
        <v>0</v>
      </c>
      <c r="W414" s="31">
        <v>0</v>
      </c>
      <c r="X414" s="31">
        <v>0</v>
      </c>
      <c r="Y414" s="31">
        <v>0</v>
      </c>
      <c r="Z414" s="31">
        <v>0</v>
      </c>
      <c r="AA414" s="31">
        <v>0</v>
      </c>
      <c r="AB414" s="31">
        <v>0</v>
      </c>
      <c r="AC414" s="31">
        <f>ROUND((E414+F414+G414+H414+I414+J414)*1.5%,2)</f>
        <v>7719.96</v>
      </c>
      <c r="AD414" s="31">
        <v>0</v>
      </c>
      <c r="AE414" s="31">
        <v>0</v>
      </c>
      <c r="AF414" s="34" t="s">
        <v>274</v>
      </c>
      <c r="AG414" s="34">
        <v>2020</v>
      </c>
      <c r="AH414" s="35">
        <v>2020</v>
      </c>
      <c r="BZ414" s="71"/>
      <c r="CD414" s="20" t="e">
        <f t="shared" si="69"/>
        <v>#N/A</v>
      </c>
    </row>
    <row r="415" spans="1:82" ht="61.5" x14ac:dyDescent="0.85">
      <c r="B415" s="24" t="s">
        <v>865</v>
      </c>
      <c r="C415" s="166"/>
      <c r="D415" s="31">
        <f t="shared" ref="D415:AE415" si="72">SUM(D416:D420)</f>
        <v>18514841.960000001</v>
      </c>
      <c r="E415" s="31">
        <f t="shared" si="72"/>
        <v>0</v>
      </c>
      <c r="F415" s="31">
        <f t="shared" si="72"/>
        <v>0</v>
      </c>
      <c r="G415" s="31">
        <f t="shared" si="72"/>
        <v>0</v>
      </c>
      <c r="H415" s="31">
        <f t="shared" si="72"/>
        <v>0</v>
      </c>
      <c r="I415" s="31">
        <f t="shared" si="72"/>
        <v>0</v>
      </c>
      <c r="J415" s="31">
        <f t="shared" si="72"/>
        <v>0</v>
      </c>
      <c r="K415" s="33">
        <f t="shared" si="72"/>
        <v>0</v>
      </c>
      <c r="L415" s="31">
        <f t="shared" si="72"/>
        <v>0</v>
      </c>
      <c r="M415" s="31">
        <f t="shared" si="72"/>
        <v>2674.9</v>
      </c>
      <c r="N415" s="31">
        <f t="shared" si="72"/>
        <v>12426985.93</v>
      </c>
      <c r="O415" s="31">
        <f t="shared" si="72"/>
        <v>0</v>
      </c>
      <c r="P415" s="31">
        <f t="shared" si="72"/>
        <v>0</v>
      </c>
      <c r="Q415" s="31">
        <f t="shared" si="72"/>
        <v>0</v>
      </c>
      <c r="R415" s="31">
        <f t="shared" si="72"/>
        <v>0</v>
      </c>
      <c r="S415" s="31">
        <f t="shared" si="72"/>
        <v>0</v>
      </c>
      <c r="T415" s="31">
        <f t="shared" si="72"/>
        <v>0</v>
      </c>
      <c r="U415" s="31">
        <f t="shared" si="72"/>
        <v>5592675.6699999999</v>
      </c>
      <c r="V415" s="31">
        <f t="shared" si="72"/>
        <v>0</v>
      </c>
      <c r="W415" s="31">
        <f t="shared" si="72"/>
        <v>0</v>
      </c>
      <c r="X415" s="31">
        <f t="shared" si="72"/>
        <v>0</v>
      </c>
      <c r="Y415" s="31">
        <f t="shared" si="72"/>
        <v>0</v>
      </c>
      <c r="Z415" s="31">
        <f t="shared" si="72"/>
        <v>0</v>
      </c>
      <c r="AA415" s="31">
        <f t="shared" si="72"/>
        <v>0</v>
      </c>
      <c r="AB415" s="31">
        <f t="shared" si="72"/>
        <v>0</v>
      </c>
      <c r="AC415" s="31">
        <f t="shared" si="72"/>
        <v>270294.92</v>
      </c>
      <c r="AD415" s="31">
        <f t="shared" si="72"/>
        <v>104885.44</v>
      </c>
      <c r="AE415" s="31">
        <f t="shared" si="72"/>
        <v>120000</v>
      </c>
      <c r="AF415" s="72" t="s">
        <v>776</v>
      </c>
      <c r="AG415" s="72" t="s">
        <v>776</v>
      </c>
      <c r="AH415" s="89" t="s">
        <v>776</v>
      </c>
      <c r="AT415" s="20" t="e">
        <f>VLOOKUP(C415,AW:AX,2,FALSE)</f>
        <v>#N/A</v>
      </c>
      <c r="BZ415" s="71">
        <v>18514841.960000001</v>
      </c>
      <c r="CD415" s="20" t="e">
        <f t="shared" si="69"/>
        <v>#N/A</v>
      </c>
    </row>
    <row r="416" spans="1:82" ht="61.5" x14ac:dyDescent="0.85">
      <c r="A416" s="20">
        <v>1</v>
      </c>
      <c r="B416" s="66">
        <f>SUBTOTAL(103,$A$22:A416)</f>
        <v>361</v>
      </c>
      <c r="C416" s="24" t="s">
        <v>108</v>
      </c>
      <c r="D416" s="31">
        <f>E416+F416+G416+H416+I416+J416+L416+N416+P416+R416+T416+U416+V416+W416+X416+Y416+Z416+AA416+AB416+AC416+AD416+AE416</f>
        <v>2621954.33</v>
      </c>
      <c r="E416" s="31">
        <v>0</v>
      </c>
      <c r="F416" s="31">
        <v>0</v>
      </c>
      <c r="G416" s="31">
        <v>0</v>
      </c>
      <c r="H416" s="31">
        <v>0</v>
      </c>
      <c r="I416" s="31">
        <v>0</v>
      </c>
      <c r="J416" s="31">
        <v>0</v>
      </c>
      <c r="K416" s="33">
        <v>0</v>
      </c>
      <c r="L416" s="31">
        <v>0</v>
      </c>
      <c r="M416" s="31">
        <v>596.4</v>
      </c>
      <c r="N416" s="31">
        <f>2451835.25+131371</f>
        <v>2583206.25</v>
      </c>
      <c r="O416" s="31">
        <v>0</v>
      </c>
      <c r="P416" s="31">
        <v>0</v>
      </c>
      <c r="Q416" s="31">
        <v>0</v>
      </c>
      <c r="R416" s="31">
        <v>0</v>
      </c>
      <c r="S416" s="31">
        <v>0</v>
      </c>
      <c r="T416" s="31">
        <v>0</v>
      </c>
      <c r="U416" s="31">
        <v>0</v>
      </c>
      <c r="V416" s="31">
        <v>0</v>
      </c>
      <c r="W416" s="31">
        <v>0</v>
      </c>
      <c r="X416" s="31">
        <v>0</v>
      </c>
      <c r="Y416" s="31">
        <v>0</v>
      </c>
      <c r="Z416" s="31">
        <v>0</v>
      </c>
      <c r="AA416" s="31">
        <v>0</v>
      </c>
      <c r="AB416" s="31">
        <v>0</v>
      </c>
      <c r="AC416" s="31">
        <f>ROUND(N416*1.5%,2)-0.01</f>
        <v>38748.079999999994</v>
      </c>
      <c r="AD416" s="31">
        <v>0</v>
      </c>
      <c r="AE416" s="31">
        <v>0</v>
      </c>
      <c r="AF416" s="34" t="s">
        <v>274</v>
      </c>
      <c r="AG416" s="34">
        <v>2020</v>
      </c>
      <c r="AH416" s="35">
        <v>2020</v>
      </c>
      <c r="AT416" s="20" t="e">
        <f>VLOOKUP(C416,AW:AX,2,FALSE)</f>
        <v>#N/A</v>
      </c>
      <c r="BZ416" s="71"/>
      <c r="CD416" s="20">
        <f t="shared" si="69"/>
        <v>596.4</v>
      </c>
    </row>
    <row r="417" spans="1:82" ht="61.5" x14ac:dyDescent="0.85">
      <c r="A417" s="20">
        <v>1</v>
      </c>
      <c r="B417" s="66">
        <f>SUBTOTAL(103,$A$22:A417)</f>
        <v>362</v>
      </c>
      <c r="C417" s="24" t="s">
        <v>110</v>
      </c>
      <c r="D417" s="31">
        <f>E417+F417+G417+H417+I417+J417+L417+N417+P417+R417+T417+U417+V417+W417+X417+Y417+Z417+AA417+AB417+AC417+AD417+AE417</f>
        <v>5119245.6399999997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3">
        <v>0</v>
      </c>
      <c r="L417" s="31">
        <v>0</v>
      </c>
      <c r="M417" s="31">
        <v>936.1</v>
      </c>
      <c r="N417" s="31">
        <v>4940256.3499999996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f>ROUND(N417*1.5%,2)</f>
        <v>74103.850000000006</v>
      </c>
      <c r="AD417" s="31">
        <v>104885.44</v>
      </c>
      <c r="AE417" s="31">
        <v>0</v>
      </c>
      <c r="AF417" s="34">
        <v>2020</v>
      </c>
      <c r="AG417" s="34">
        <v>2020</v>
      </c>
      <c r="AH417" s="35">
        <v>2020</v>
      </c>
      <c r="AT417" s="20" t="e">
        <f>VLOOKUP(C417,AW:AX,2,FALSE)</f>
        <v>#N/A</v>
      </c>
      <c r="BZ417" s="71"/>
      <c r="CD417" s="20">
        <f t="shared" si="69"/>
        <v>936.1</v>
      </c>
    </row>
    <row r="418" spans="1:82" ht="61.5" x14ac:dyDescent="0.85">
      <c r="A418" s="20">
        <v>1</v>
      </c>
      <c r="B418" s="66">
        <f>SUBTOTAL(103,$A$22:A418)</f>
        <v>363</v>
      </c>
      <c r="C418" s="24" t="s">
        <v>1267</v>
      </c>
      <c r="D418" s="31">
        <f>E418+F418+G418+H418+I418+J418+L418+N418+P418+R418+T418+U418+V418+W418+X418+Y418+Z418+AA418+AB418+AC418+AD418+AE418</f>
        <v>3913623.54</v>
      </c>
      <c r="E418" s="31">
        <v>0</v>
      </c>
      <c r="F418" s="31">
        <v>0</v>
      </c>
      <c r="G418" s="31">
        <v>0</v>
      </c>
      <c r="H418" s="31">
        <v>0</v>
      </c>
      <c r="I418" s="31">
        <v>0</v>
      </c>
      <c r="J418" s="31">
        <v>0</v>
      </c>
      <c r="K418" s="33">
        <v>0</v>
      </c>
      <c r="L418" s="31">
        <v>0</v>
      </c>
      <c r="M418" s="31">
        <v>807.4</v>
      </c>
      <c r="N418" s="31">
        <v>3855786.74</v>
      </c>
      <c r="O418" s="31">
        <v>0</v>
      </c>
      <c r="P418" s="31">
        <v>0</v>
      </c>
      <c r="Q418" s="31">
        <v>0</v>
      </c>
      <c r="R418" s="31">
        <v>0</v>
      </c>
      <c r="S418" s="31">
        <v>0</v>
      </c>
      <c r="T418" s="31">
        <v>0</v>
      </c>
      <c r="U418" s="31">
        <v>0</v>
      </c>
      <c r="V418" s="31">
        <v>0</v>
      </c>
      <c r="W418" s="31">
        <v>0</v>
      </c>
      <c r="X418" s="31">
        <v>0</v>
      </c>
      <c r="Y418" s="31">
        <v>0</v>
      </c>
      <c r="Z418" s="31">
        <v>0</v>
      </c>
      <c r="AA418" s="31">
        <v>0</v>
      </c>
      <c r="AB418" s="31">
        <v>0</v>
      </c>
      <c r="AC418" s="31">
        <f>ROUND(N418*1.5%,2)</f>
        <v>57836.800000000003</v>
      </c>
      <c r="AD418" s="31">
        <v>0</v>
      </c>
      <c r="AE418" s="31">
        <v>0</v>
      </c>
      <c r="AF418" s="34" t="s">
        <v>274</v>
      </c>
      <c r="AG418" s="34">
        <v>2020</v>
      </c>
      <c r="AH418" s="35">
        <v>2020</v>
      </c>
      <c r="BZ418" s="71"/>
      <c r="CD418" s="20">
        <f t="shared" si="69"/>
        <v>807.4</v>
      </c>
    </row>
    <row r="419" spans="1:82" ht="61.5" x14ac:dyDescent="0.85">
      <c r="A419" s="20">
        <v>1</v>
      </c>
      <c r="B419" s="66">
        <f>SUBTOTAL(103,$A$22:A419)</f>
        <v>364</v>
      </c>
      <c r="C419" s="24" t="s">
        <v>1268</v>
      </c>
      <c r="D419" s="31">
        <f>E419+F419+G419+H419+I419+J419+L419+N419+P419+R419+T419+U419+V419+W419+X419+Y419+Z419+AA419+AB419+AC419+AD419+AE419</f>
        <v>5676565.8099999996</v>
      </c>
      <c r="E419" s="31">
        <v>0</v>
      </c>
      <c r="F419" s="31">
        <v>0</v>
      </c>
      <c r="G419" s="31">
        <v>0</v>
      </c>
      <c r="H419" s="31">
        <v>0</v>
      </c>
      <c r="I419" s="31">
        <v>0</v>
      </c>
      <c r="J419" s="31">
        <v>0</v>
      </c>
      <c r="K419" s="33">
        <v>0</v>
      </c>
      <c r="L419" s="31">
        <v>0</v>
      </c>
      <c r="M419" s="31">
        <v>0</v>
      </c>
      <c r="N419" s="31">
        <v>0</v>
      </c>
      <c r="O419" s="31">
        <v>0</v>
      </c>
      <c r="P419" s="31">
        <v>0</v>
      </c>
      <c r="Q419" s="31">
        <v>0</v>
      </c>
      <c r="R419" s="31">
        <v>0</v>
      </c>
      <c r="S419" s="31">
        <v>0</v>
      </c>
      <c r="T419" s="31">
        <v>0</v>
      </c>
      <c r="U419" s="31">
        <f>5582000+10675.67</f>
        <v>5592675.6699999999</v>
      </c>
      <c r="V419" s="31">
        <v>0</v>
      </c>
      <c r="W419" s="31">
        <v>0</v>
      </c>
      <c r="X419" s="31">
        <v>0</v>
      </c>
      <c r="Y419" s="31">
        <v>0</v>
      </c>
      <c r="Z419" s="31">
        <v>0</v>
      </c>
      <c r="AA419" s="31">
        <v>0</v>
      </c>
      <c r="AB419" s="31">
        <v>0</v>
      </c>
      <c r="AC419" s="31">
        <f>ROUND(U419*1.5%,2)</f>
        <v>83890.14</v>
      </c>
      <c r="AD419" s="31">
        <v>0</v>
      </c>
      <c r="AE419" s="31">
        <v>0</v>
      </c>
      <c r="AF419" s="34" t="s">
        <v>274</v>
      </c>
      <c r="AG419" s="34">
        <v>2020</v>
      </c>
      <c r="AH419" s="35">
        <v>2020</v>
      </c>
      <c r="BZ419" s="71"/>
      <c r="CD419" s="20">
        <f t="shared" si="69"/>
        <v>901.42</v>
      </c>
    </row>
    <row r="420" spans="1:82" ht="61.5" x14ac:dyDescent="0.85">
      <c r="A420" s="20">
        <v>1</v>
      </c>
      <c r="B420" s="66">
        <f>SUBTOTAL(103,$A$22:A420)</f>
        <v>365</v>
      </c>
      <c r="C420" s="24" t="s">
        <v>1269</v>
      </c>
      <c r="D420" s="31">
        <f>E420+F420+G420+H420+I420+J420+L420+N420+P420+R420+T420+U420+V420+W420+X420+Y420+Z420+AA420+AB420+AC420+AD420+AE420</f>
        <v>1183452.6399999999</v>
      </c>
      <c r="E420" s="31">
        <v>0</v>
      </c>
      <c r="F420" s="31">
        <v>0</v>
      </c>
      <c r="G420" s="31">
        <v>0</v>
      </c>
      <c r="H420" s="31">
        <v>0</v>
      </c>
      <c r="I420" s="31">
        <v>0</v>
      </c>
      <c r="J420" s="31">
        <v>0</v>
      </c>
      <c r="K420" s="33">
        <v>0</v>
      </c>
      <c r="L420" s="31">
        <v>0</v>
      </c>
      <c r="M420" s="31">
        <v>335</v>
      </c>
      <c r="N420" s="31">
        <f>994964.85+52771.74</f>
        <v>1047736.59</v>
      </c>
      <c r="O420" s="31">
        <v>0</v>
      </c>
      <c r="P420" s="31">
        <v>0</v>
      </c>
      <c r="Q420" s="31">
        <v>0</v>
      </c>
      <c r="R420" s="31">
        <v>0</v>
      </c>
      <c r="S420" s="31">
        <v>0</v>
      </c>
      <c r="T420" s="31">
        <v>0</v>
      </c>
      <c r="U420" s="31">
        <v>0</v>
      </c>
      <c r="V420" s="31">
        <v>0</v>
      </c>
      <c r="W420" s="31">
        <v>0</v>
      </c>
      <c r="X420" s="31">
        <v>0</v>
      </c>
      <c r="Y420" s="31">
        <v>0</v>
      </c>
      <c r="Z420" s="31">
        <v>0</v>
      </c>
      <c r="AA420" s="31">
        <v>0</v>
      </c>
      <c r="AB420" s="31">
        <v>0</v>
      </c>
      <c r="AC420" s="31">
        <f>ROUND(N420*1.5%,2)</f>
        <v>15716.05</v>
      </c>
      <c r="AD420" s="31">
        <v>0</v>
      </c>
      <c r="AE420" s="31">
        <v>120000</v>
      </c>
      <c r="AF420" s="34" t="s">
        <v>274</v>
      </c>
      <c r="AG420" s="34">
        <v>2020</v>
      </c>
      <c r="AH420" s="35">
        <v>2020</v>
      </c>
      <c r="BZ420" s="71"/>
      <c r="CD420" s="20">
        <f t="shared" si="69"/>
        <v>335</v>
      </c>
    </row>
    <row r="421" spans="1:82" ht="61.5" x14ac:dyDescent="0.85">
      <c r="B421" s="24" t="s">
        <v>866</v>
      </c>
      <c r="C421" s="166"/>
      <c r="D421" s="31">
        <f>D422</f>
        <v>5141890.2</v>
      </c>
      <c r="E421" s="31">
        <f t="shared" ref="E421:AE421" si="73">E422</f>
        <v>0</v>
      </c>
      <c r="F421" s="31">
        <f t="shared" si="73"/>
        <v>0</v>
      </c>
      <c r="G421" s="31">
        <f t="shared" si="73"/>
        <v>0</v>
      </c>
      <c r="H421" s="31">
        <f t="shared" si="73"/>
        <v>0</v>
      </c>
      <c r="I421" s="31">
        <f t="shared" si="73"/>
        <v>0</v>
      </c>
      <c r="J421" s="31">
        <f t="shared" si="73"/>
        <v>0</v>
      </c>
      <c r="K421" s="33">
        <f t="shared" si="73"/>
        <v>0</v>
      </c>
      <c r="L421" s="31">
        <f t="shared" si="73"/>
        <v>0</v>
      </c>
      <c r="M421" s="31">
        <f t="shared" si="73"/>
        <v>1110</v>
      </c>
      <c r="N421" s="31">
        <f t="shared" si="73"/>
        <v>4880680</v>
      </c>
      <c r="O421" s="31">
        <f t="shared" si="73"/>
        <v>0</v>
      </c>
      <c r="P421" s="31">
        <f t="shared" si="73"/>
        <v>0</v>
      </c>
      <c r="Q421" s="31">
        <f t="shared" si="73"/>
        <v>0</v>
      </c>
      <c r="R421" s="31">
        <f t="shared" si="73"/>
        <v>0</v>
      </c>
      <c r="S421" s="31">
        <f t="shared" si="73"/>
        <v>0</v>
      </c>
      <c r="T421" s="31">
        <f t="shared" si="73"/>
        <v>0</v>
      </c>
      <c r="U421" s="31">
        <f t="shared" si="73"/>
        <v>0</v>
      </c>
      <c r="V421" s="31">
        <f t="shared" si="73"/>
        <v>0</v>
      </c>
      <c r="W421" s="31">
        <f t="shared" si="73"/>
        <v>0</v>
      </c>
      <c r="X421" s="31">
        <f t="shared" si="73"/>
        <v>0</v>
      </c>
      <c r="Y421" s="31">
        <f t="shared" si="73"/>
        <v>0</v>
      </c>
      <c r="Z421" s="31">
        <f t="shared" si="73"/>
        <v>0</v>
      </c>
      <c r="AA421" s="31">
        <f t="shared" si="73"/>
        <v>0</v>
      </c>
      <c r="AB421" s="31">
        <f t="shared" si="73"/>
        <v>0</v>
      </c>
      <c r="AC421" s="31">
        <f t="shared" si="73"/>
        <v>73210.2</v>
      </c>
      <c r="AD421" s="31">
        <f t="shared" si="73"/>
        <v>188000</v>
      </c>
      <c r="AE421" s="31">
        <f t="shared" si="73"/>
        <v>0</v>
      </c>
      <c r="AF421" s="72" t="s">
        <v>776</v>
      </c>
      <c r="AG421" s="72" t="s">
        <v>776</v>
      </c>
      <c r="AH421" s="89" t="s">
        <v>776</v>
      </c>
      <c r="AT421" s="20" t="e">
        <f>VLOOKUP(C421,AW:AX,2,FALSE)</f>
        <v>#N/A</v>
      </c>
      <c r="BZ421" s="71">
        <v>5141890.2</v>
      </c>
      <c r="CD421" s="20" t="e">
        <f t="shared" si="69"/>
        <v>#N/A</v>
      </c>
    </row>
    <row r="422" spans="1:82" ht="61.5" x14ac:dyDescent="0.85">
      <c r="A422" s="20">
        <v>1</v>
      </c>
      <c r="B422" s="66">
        <f>SUBTOTAL(103,$A$22:A422)</f>
        <v>366</v>
      </c>
      <c r="C422" s="24" t="s">
        <v>40</v>
      </c>
      <c r="D422" s="31">
        <f>E422+F422+G422+H422+I422+J422+L422+N422+P422+R422+T422+U422+V422+W422+X422+Y422+Z422+AA422+AB422+AC422+AD422+AE422</f>
        <v>5141890.2</v>
      </c>
      <c r="E422" s="31">
        <v>0</v>
      </c>
      <c r="F422" s="31">
        <v>0</v>
      </c>
      <c r="G422" s="31">
        <v>0</v>
      </c>
      <c r="H422" s="31">
        <v>0</v>
      </c>
      <c r="I422" s="31">
        <v>0</v>
      </c>
      <c r="J422" s="31">
        <v>0</v>
      </c>
      <c r="K422" s="33">
        <v>0</v>
      </c>
      <c r="L422" s="31">
        <v>0</v>
      </c>
      <c r="M422" s="31">
        <v>1110</v>
      </c>
      <c r="N422" s="31">
        <f>4569884.04-985.22+311781.18</f>
        <v>4880680</v>
      </c>
      <c r="O422" s="31">
        <v>0</v>
      </c>
      <c r="P422" s="31">
        <v>0</v>
      </c>
      <c r="Q422" s="31">
        <v>0</v>
      </c>
      <c r="R422" s="31">
        <v>0</v>
      </c>
      <c r="S422" s="31">
        <v>0</v>
      </c>
      <c r="T422" s="31">
        <v>0</v>
      </c>
      <c r="U422" s="31">
        <v>0</v>
      </c>
      <c r="V422" s="31">
        <v>0</v>
      </c>
      <c r="W422" s="31">
        <v>0</v>
      </c>
      <c r="X422" s="31">
        <v>0</v>
      </c>
      <c r="Y422" s="31">
        <v>0</v>
      </c>
      <c r="Z422" s="31">
        <v>0</v>
      </c>
      <c r="AA422" s="31">
        <v>0</v>
      </c>
      <c r="AB422" s="31">
        <v>0</v>
      </c>
      <c r="AC422" s="31">
        <f>ROUND(N422*1.5%,2)</f>
        <v>73210.2</v>
      </c>
      <c r="AD422" s="31">
        <v>188000</v>
      </c>
      <c r="AE422" s="31">
        <v>0</v>
      </c>
      <c r="AF422" s="34">
        <v>2020</v>
      </c>
      <c r="AG422" s="34">
        <v>2020</v>
      </c>
      <c r="AH422" s="35">
        <v>2020</v>
      </c>
      <c r="AT422" s="20" t="e">
        <f>VLOOKUP(C422,AW:AX,2,FALSE)</f>
        <v>#N/A</v>
      </c>
      <c r="BZ422" s="71"/>
      <c r="CD422" s="20" t="e">
        <f t="shared" si="69"/>
        <v>#N/A</v>
      </c>
    </row>
    <row r="423" spans="1:82" ht="61.5" x14ac:dyDescent="0.85">
      <c r="B423" s="24" t="s">
        <v>867</v>
      </c>
      <c r="C423" s="24"/>
      <c r="D423" s="31">
        <f>D424+D425+D426+D427</f>
        <v>21864677.539999999</v>
      </c>
      <c r="E423" s="31">
        <f t="shared" ref="E423:AE423" si="74">E424+E425+E426+E427</f>
        <v>561649.39</v>
      </c>
      <c r="F423" s="31">
        <f t="shared" si="74"/>
        <v>492637.49</v>
      </c>
      <c r="G423" s="31">
        <f t="shared" si="74"/>
        <v>2246215.7799999998</v>
      </c>
      <c r="H423" s="31">
        <f t="shared" si="74"/>
        <v>432886.63</v>
      </c>
      <c r="I423" s="31">
        <f t="shared" si="74"/>
        <v>0</v>
      </c>
      <c r="J423" s="31">
        <f t="shared" si="74"/>
        <v>0</v>
      </c>
      <c r="K423" s="33">
        <f t="shared" si="74"/>
        <v>0</v>
      </c>
      <c r="L423" s="31">
        <f t="shared" si="74"/>
        <v>0</v>
      </c>
      <c r="M423" s="31">
        <f t="shared" si="74"/>
        <v>4112</v>
      </c>
      <c r="N423" s="31">
        <f t="shared" si="74"/>
        <v>17512336.829999998</v>
      </c>
      <c r="O423" s="31">
        <f t="shared" si="74"/>
        <v>0</v>
      </c>
      <c r="P423" s="31">
        <f t="shared" si="74"/>
        <v>0</v>
      </c>
      <c r="Q423" s="31">
        <f t="shared" si="74"/>
        <v>0</v>
      </c>
      <c r="R423" s="31">
        <f t="shared" si="74"/>
        <v>0</v>
      </c>
      <c r="S423" s="31">
        <f t="shared" si="74"/>
        <v>0</v>
      </c>
      <c r="T423" s="31">
        <f t="shared" si="74"/>
        <v>0</v>
      </c>
      <c r="U423" s="31">
        <f t="shared" si="74"/>
        <v>0</v>
      </c>
      <c r="V423" s="31">
        <f t="shared" si="74"/>
        <v>0</v>
      </c>
      <c r="W423" s="31">
        <f t="shared" si="74"/>
        <v>0</v>
      </c>
      <c r="X423" s="31">
        <f t="shared" si="74"/>
        <v>0</v>
      </c>
      <c r="Y423" s="31">
        <f t="shared" si="74"/>
        <v>0</v>
      </c>
      <c r="Z423" s="31">
        <f t="shared" si="74"/>
        <v>0</v>
      </c>
      <c r="AA423" s="31">
        <f t="shared" si="74"/>
        <v>0</v>
      </c>
      <c r="AB423" s="31">
        <f t="shared" si="74"/>
        <v>0</v>
      </c>
      <c r="AC423" s="31">
        <f t="shared" si="74"/>
        <v>258951.41999999998</v>
      </c>
      <c r="AD423" s="31">
        <f t="shared" si="74"/>
        <v>360000</v>
      </c>
      <c r="AE423" s="31">
        <f t="shared" si="74"/>
        <v>0</v>
      </c>
      <c r="AF423" s="72" t="s">
        <v>776</v>
      </c>
      <c r="AG423" s="72" t="s">
        <v>776</v>
      </c>
      <c r="AH423" s="89" t="s">
        <v>776</v>
      </c>
      <c r="AT423" s="20" t="e">
        <f>VLOOKUP(C423,AW:AX,2,FALSE)</f>
        <v>#N/A</v>
      </c>
      <c r="BZ423" s="71">
        <v>21864677.539999999</v>
      </c>
      <c r="CD423" s="20" t="e">
        <f t="shared" si="69"/>
        <v>#N/A</v>
      </c>
    </row>
    <row r="424" spans="1:82" ht="61.5" x14ac:dyDescent="0.85">
      <c r="A424" s="20">
        <v>1</v>
      </c>
      <c r="B424" s="66">
        <f>SUBTOTAL(103,$A$22:A424)</f>
        <v>367</v>
      </c>
      <c r="C424" s="24" t="s">
        <v>63</v>
      </c>
      <c r="D424" s="31">
        <f>E424+F424+G424+H424+I424+J424+L424+N424+P424+R424+T424+U424+V424+W424+X424+Y424+Z424+AA424+AB424+AC424+AD424+AE424</f>
        <v>6494255.6099999994</v>
      </c>
      <c r="E424" s="31">
        <v>0</v>
      </c>
      <c r="F424" s="31">
        <v>0</v>
      </c>
      <c r="G424" s="31">
        <v>0</v>
      </c>
      <c r="H424" s="31">
        <v>0</v>
      </c>
      <c r="I424" s="31">
        <v>0</v>
      </c>
      <c r="J424" s="31">
        <v>0</v>
      </c>
      <c r="K424" s="33">
        <v>0</v>
      </c>
      <c r="L424" s="31">
        <v>0</v>
      </c>
      <c r="M424" s="31">
        <v>1420</v>
      </c>
      <c r="N424" s="31">
        <f>5786396.52+434544.97</f>
        <v>6220941.4899999993</v>
      </c>
      <c r="O424" s="31">
        <v>0</v>
      </c>
      <c r="P424" s="31">
        <v>0</v>
      </c>
      <c r="Q424" s="31">
        <v>0</v>
      </c>
      <c r="R424" s="31">
        <v>0</v>
      </c>
      <c r="S424" s="31">
        <v>0</v>
      </c>
      <c r="T424" s="31">
        <v>0</v>
      </c>
      <c r="U424" s="31">
        <v>0</v>
      </c>
      <c r="V424" s="31">
        <v>0</v>
      </c>
      <c r="W424" s="31">
        <v>0</v>
      </c>
      <c r="X424" s="31">
        <v>0</v>
      </c>
      <c r="Y424" s="31">
        <v>0</v>
      </c>
      <c r="Z424" s="31">
        <v>0</v>
      </c>
      <c r="AA424" s="31">
        <v>0</v>
      </c>
      <c r="AB424" s="31">
        <v>0</v>
      </c>
      <c r="AC424" s="31">
        <f>ROUND(N424*1.5%,2)</f>
        <v>93314.12</v>
      </c>
      <c r="AD424" s="31">
        <v>180000</v>
      </c>
      <c r="AE424" s="31">
        <v>0</v>
      </c>
      <c r="AF424" s="34">
        <v>2020</v>
      </c>
      <c r="AG424" s="34">
        <v>2020</v>
      </c>
      <c r="AH424" s="35">
        <v>2020</v>
      </c>
      <c r="AT424" s="20" t="e">
        <f>VLOOKUP(C424,AW:AX,2,FALSE)</f>
        <v>#N/A</v>
      </c>
      <c r="BZ424" s="71"/>
      <c r="CD424" s="20" t="e">
        <f t="shared" si="69"/>
        <v>#N/A</v>
      </c>
    </row>
    <row r="425" spans="1:82" ht="61.5" x14ac:dyDescent="0.85">
      <c r="A425" s="20">
        <v>1</v>
      </c>
      <c r="B425" s="66">
        <f>SUBTOTAL(103,$A$22:A425)</f>
        <v>368</v>
      </c>
      <c r="C425" s="24" t="s">
        <v>1282</v>
      </c>
      <c r="D425" s="31">
        <f>E425+F425+G425+H425+I425+J425+L425+N425+P425+R425+T425+U425+V425+W425+X425+Y425+Z425+AA425+AB425+AC425+AD425+AE425</f>
        <v>3789390.1299999994</v>
      </c>
      <c r="E425" s="31">
        <v>561649.39</v>
      </c>
      <c r="F425" s="31">
        <v>492637.49</v>
      </c>
      <c r="G425" s="31">
        <v>2246215.7799999998</v>
      </c>
      <c r="H425" s="31">
        <v>432886.63</v>
      </c>
      <c r="I425" s="31">
        <v>0</v>
      </c>
      <c r="J425" s="31">
        <v>0</v>
      </c>
      <c r="K425" s="33">
        <v>0</v>
      </c>
      <c r="L425" s="31">
        <v>0</v>
      </c>
      <c r="M425" s="31">
        <v>0</v>
      </c>
      <c r="N425" s="31">
        <v>0</v>
      </c>
      <c r="O425" s="31">
        <v>0</v>
      </c>
      <c r="P425" s="31">
        <v>0</v>
      </c>
      <c r="Q425" s="31">
        <v>0</v>
      </c>
      <c r="R425" s="31">
        <v>0</v>
      </c>
      <c r="S425" s="31">
        <v>0</v>
      </c>
      <c r="T425" s="31">
        <v>0</v>
      </c>
      <c r="U425" s="31">
        <v>0</v>
      </c>
      <c r="V425" s="31">
        <v>0</v>
      </c>
      <c r="W425" s="31">
        <v>0</v>
      </c>
      <c r="X425" s="31">
        <v>0</v>
      </c>
      <c r="Y425" s="31">
        <v>0</v>
      </c>
      <c r="Z425" s="31">
        <v>0</v>
      </c>
      <c r="AA425" s="31">
        <v>0</v>
      </c>
      <c r="AB425" s="31">
        <v>0</v>
      </c>
      <c r="AC425" s="31">
        <f>ROUND((E425+F425+G425+H425+I425+J425)*1.5%,2)</f>
        <v>56000.84</v>
      </c>
      <c r="AD425" s="31">
        <v>0</v>
      </c>
      <c r="AE425" s="31">
        <v>0</v>
      </c>
      <c r="AF425" s="34" t="s">
        <v>274</v>
      </c>
      <c r="AG425" s="34">
        <v>2020</v>
      </c>
      <c r="AH425" s="35">
        <v>2020</v>
      </c>
      <c r="BZ425" s="71"/>
      <c r="CD425" s="20" t="e">
        <f t="shared" si="69"/>
        <v>#N/A</v>
      </c>
    </row>
    <row r="426" spans="1:82" ht="61.5" x14ac:dyDescent="0.85">
      <c r="A426" s="20">
        <v>1</v>
      </c>
      <c r="B426" s="66">
        <f>SUBTOTAL(103,$A$22:A426)</f>
        <v>369</v>
      </c>
      <c r="C426" s="24" t="s">
        <v>1602</v>
      </c>
      <c r="D426" s="31">
        <f>E426+F426+G426+H426+I426+J426+L426+N426+P426+R426+T426+U426+V426+W426+X426+Y426+Z426+AA426+AB426+AC426+AD426+AE426</f>
        <v>5709104.1399999997</v>
      </c>
      <c r="E426" s="31">
        <v>0</v>
      </c>
      <c r="F426" s="31">
        <v>0</v>
      </c>
      <c r="G426" s="31">
        <v>0</v>
      </c>
      <c r="H426" s="31">
        <v>0</v>
      </c>
      <c r="I426" s="31">
        <v>0</v>
      </c>
      <c r="J426" s="31">
        <v>0</v>
      </c>
      <c r="K426" s="33">
        <v>0</v>
      </c>
      <c r="L426" s="31">
        <v>0</v>
      </c>
      <c r="M426" s="31">
        <v>1331</v>
      </c>
      <c r="N426" s="31">
        <v>5683584.8399999999</v>
      </c>
      <c r="O426" s="31">
        <v>0</v>
      </c>
      <c r="P426" s="31">
        <v>0</v>
      </c>
      <c r="Q426" s="31">
        <v>0</v>
      </c>
      <c r="R426" s="31">
        <v>0</v>
      </c>
      <c r="S426" s="31">
        <v>0</v>
      </c>
      <c r="T426" s="31">
        <v>0</v>
      </c>
      <c r="U426" s="31">
        <v>0</v>
      </c>
      <c r="V426" s="31">
        <v>0</v>
      </c>
      <c r="W426" s="31">
        <v>0</v>
      </c>
      <c r="X426" s="31">
        <v>0</v>
      </c>
      <c r="Y426" s="31">
        <v>0</v>
      </c>
      <c r="Z426" s="31">
        <v>0</v>
      </c>
      <c r="AA426" s="31">
        <v>0</v>
      </c>
      <c r="AB426" s="31">
        <v>0</v>
      </c>
      <c r="AC426" s="31">
        <f>ROUND(N426*0.449%,2)</f>
        <v>25519.3</v>
      </c>
      <c r="AD426" s="31">
        <v>0</v>
      </c>
      <c r="AE426" s="31">
        <v>0</v>
      </c>
      <c r="AF426" s="34" t="s">
        <v>274</v>
      </c>
      <c r="AG426" s="34">
        <v>2020</v>
      </c>
      <c r="AH426" s="35">
        <v>2020</v>
      </c>
      <c r="BZ426" s="71"/>
      <c r="CD426" s="20" t="e">
        <f t="shared" si="69"/>
        <v>#N/A</v>
      </c>
    </row>
    <row r="427" spans="1:82" ht="61.5" x14ac:dyDescent="0.85">
      <c r="A427" s="20">
        <v>1</v>
      </c>
      <c r="B427" s="66">
        <f>SUBTOTAL(103,$A$22:A427)</f>
        <v>370</v>
      </c>
      <c r="C427" s="24" t="s">
        <v>52</v>
      </c>
      <c r="D427" s="31">
        <f>E427+F427+G427+H427+I427+J427+L427+N427+P427+R427+T427+U427+V427+W427+X427+Y427+Z427+AA427+AB427+AC427+AD427+AE427</f>
        <v>5871927.6600000001</v>
      </c>
      <c r="E427" s="31">
        <v>0</v>
      </c>
      <c r="F427" s="31">
        <v>0</v>
      </c>
      <c r="G427" s="31">
        <v>0</v>
      </c>
      <c r="H427" s="31">
        <v>0</v>
      </c>
      <c r="I427" s="31">
        <v>0</v>
      </c>
      <c r="J427" s="31">
        <v>0</v>
      </c>
      <c r="K427" s="33">
        <v>0</v>
      </c>
      <c r="L427" s="31">
        <v>0</v>
      </c>
      <c r="M427" s="31">
        <v>1361</v>
      </c>
      <c r="N427" s="31">
        <v>5607810.5</v>
      </c>
      <c r="O427" s="31">
        <v>0</v>
      </c>
      <c r="P427" s="31">
        <v>0</v>
      </c>
      <c r="Q427" s="31">
        <v>0</v>
      </c>
      <c r="R427" s="31">
        <v>0</v>
      </c>
      <c r="S427" s="31">
        <v>0</v>
      </c>
      <c r="T427" s="31">
        <v>0</v>
      </c>
      <c r="U427" s="31">
        <v>0</v>
      </c>
      <c r="V427" s="31">
        <v>0</v>
      </c>
      <c r="W427" s="31">
        <v>0</v>
      </c>
      <c r="X427" s="31">
        <v>0</v>
      </c>
      <c r="Y427" s="31">
        <v>0</v>
      </c>
      <c r="Z427" s="31">
        <v>0</v>
      </c>
      <c r="AA427" s="31">
        <v>0</v>
      </c>
      <c r="AB427" s="31">
        <v>0</v>
      </c>
      <c r="AC427" s="31">
        <f>ROUND(N427*1.5%,2)</f>
        <v>84117.16</v>
      </c>
      <c r="AD427" s="31">
        <v>180000</v>
      </c>
      <c r="AE427" s="31">
        <v>0</v>
      </c>
      <c r="AF427" s="34">
        <v>2020</v>
      </c>
      <c r="AG427" s="34">
        <v>2020</v>
      </c>
      <c r="AH427" s="35">
        <v>2020</v>
      </c>
      <c r="AT427" s="20" t="e">
        <f>VLOOKUP(C427,AW:AX,2,FALSE)</f>
        <v>#N/A</v>
      </c>
      <c r="BZ427" s="71"/>
      <c r="CD427" s="20" t="e">
        <f t="shared" si="69"/>
        <v>#N/A</v>
      </c>
    </row>
    <row r="428" spans="1:82" ht="61.5" x14ac:dyDescent="0.85">
      <c r="B428" s="24" t="s">
        <v>868</v>
      </c>
      <c r="C428" s="24"/>
      <c r="D428" s="31">
        <f>SUM(D429:D435)</f>
        <v>34570625.039999999</v>
      </c>
      <c r="E428" s="31">
        <f t="shared" ref="E428:AE428" si="75">SUM(E429:E435)</f>
        <v>1808322.75</v>
      </c>
      <c r="F428" s="31">
        <f t="shared" si="75"/>
        <v>3961209.92</v>
      </c>
      <c r="G428" s="31">
        <f t="shared" si="75"/>
        <v>12231471.289999999</v>
      </c>
      <c r="H428" s="31">
        <f t="shared" si="75"/>
        <v>2331370.5</v>
      </c>
      <c r="I428" s="31">
        <f t="shared" si="75"/>
        <v>2823224.32</v>
      </c>
      <c r="J428" s="31">
        <f t="shared" si="75"/>
        <v>0</v>
      </c>
      <c r="K428" s="33">
        <f t="shared" si="75"/>
        <v>0</v>
      </c>
      <c r="L428" s="31">
        <f t="shared" si="75"/>
        <v>0</v>
      </c>
      <c r="M428" s="31">
        <f t="shared" si="75"/>
        <v>1270.7</v>
      </c>
      <c r="N428" s="31">
        <f t="shared" si="75"/>
        <v>6187231.6299999999</v>
      </c>
      <c r="O428" s="31">
        <f t="shared" si="75"/>
        <v>0</v>
      </c>
      <c r="P428" s="31">
        <f t="shared" si="75"/>
        <v>0</v>
      </c>
      <c r="Q428" s="31">
        <f t="shared" si="75"/>
        <v>858.98</v>
      </c>
      <c r="R428" s="31">
        <f t="shared" si="75"/>
        <v>4616273.12</v>
      </c>
      <c r="S428" s="31">
        <f t="shared" si="75"/>
        <v>0</v>
      </c>
      <c r="T428" s="31">
        <f t="shared" si="75"/>
        <v>0</v>
      </c>
      <c r="U428" s="31">
        <f t="shared" si="75"/>
        <v>0</v>
      </c>
      <c r="V428" s="31">
        <f t="shared" si="75"/>
        <v>0</v>
      </c>
      <c r="W428" s="31">
        <f t="shared" si="75"/>
        <v>0</v>
      </c>
      <c r="X428" s="31">
        <f t="shared" si="75"/>
        <v>0</v>
      </c>
      <c r="Y428" s="31">
        <f t="shared" si="75"/>
        <v>0</v>
      </c>
      <c r="Z428" s="31">
        <f t="shared" si="75"/>
        <v>0</v>
      </c>
      <c r="AA428" s="31">
        <f t="shared" si="75"/>
        <v>0</v>
      </c>
      <c r="AB428" s="31">
        <f t="shared" si="75"/>
        <v>0</v>
      </c>
      <c r="AC428" s="31">
        <f t="shared" si="75"/>
        <v>361521.51</v>
      </c>
      <c r="AD428" s="31">
        <f t="shared" si="75"/>
        <v>250000</v>
      </c>
      <c r="AE428" s="31">
        <f t="shared" si="75"/>
        <v>0</v>
      </c>
      <c r="AF428" s="72" t="s">
        <v>776</v>
      </c>
      <c r="AG428" s="72" t="s">
        <v>776</v>
      </c>
      <c r="AH428" s="89" t="s">
        <v>776</v>
      </c>
      <c r="AT428" s="20" t="e">
        <f>VLOOKUP(C428,AW:AX,2,FALSE)</f>
        <v>#N/A</v>
      </c>
      <c r="BZ428" s="71">
        <v>34570625.039999999</v>
      </c>
      <c r="CD428" s="20" t="e">
        <f t="shared" si="69"/>
        <v>#N/A</v>
      </c>
    </row>
    <row r="429" spans="1:82" ht="61.5" x14ac:dyDescent="0.85">
      <c r="A429" s="20">
        <v>1</v>
      </c>
      <c r="B429" s="66">
        <f>SUBTOTAL(103,$A$22:A429)</f>
        <v>371</v>
      </c>
      <c r="C429" s="24" t="s">
        <v>47</v>
      </c>
      <c r="D429" s="31">
        <f t="shared" ref="D429:D435" si="76">E429+F429+G429+H429+I429+J429+L429+N429+P429+R429+T429+U429+V429+W429+X429+Y429+Z429+AA429+AB429+AC429+AD429+AE429</f>
        <v>3272502.06</v>
      </c>
      <c r="E429" s="31">
        <v>0</v>
      </c>
      <c r="F429" s="31">
        <v>0</v>
      </c>
      <c r="G429" s="31">
        <v>0</v>
      </c>
      <c r="H429" s="31">
        <v>0</v>
      </c>
      <c r="I429" s="31">
        <v>0</v>
      </c>
      <c r="J429" s="31">
        <v>0</v>
      </c>
      <c r="K429" s="33">
        <v>0</v>
      </c>
      <c r="L429" s="31">
        <v>0</v>
      </c>
      <c r="M429" s="31">
        <v>626.70000000000005</v>
      </c>
      <c r="N429" s="31">
        <v>3096061.14</v>
      </c>
      <c r="O429" s="31">
        <v>0</v>
      </c>
      <c r="P429" s="31">
        <v>0</v>
      </c>
      <c r="Q429" s="31">
        <v>0</v>
      </c>
      <c r="R429" s="31">
        <v>0</v>
      </c>
      <c r="S429" s="31">
        <v>0</v>
      </c>
      <c r="T429" s="31">
        <v>0</v>
      </c>
      <c r="U429" s="31">
        <v>0</v>
      </c>
      <c r="V429" s="31">
        <v>0</v>
      </c>
      <c r="W429" s="31">
        <v>0</v>
      </c>
      <c r="X429" s="31">
        <v>0</v>
      </c>
      <c r="Y429" s="31">
        <v>0</v>
      </c>
      <c r="Z429" s="31">
        <v>0</v>
      </c>
      <c r="AA429" s="31">
        <v>0</v>
      </c>
      <c r="AB429" s="31">
        <v>0</v>
      </c>
      <c r="AC429" s="31">
        <f>ROUND(N429*1.5%,2)</f>
        <v>46440.92</v>
      </c>
      <c r="AD429" s="31">
        <v>130000</v>
      </c>
      <c r="AE429" s="31">
        <v>0</v>
      </c>
      <c r="AF429" s="34">
        <v>2020</v>
      </c>
      <c r="AG429" s="34">
        <v>2020</v>
      </c>
      <c r="AH429" s="35">
        <v>2020</v>
      </c>
      <c r="AT429" s="20" t="e">
        <f>VLOOKUP(C429,AW:AX,2,FALSE)</f>
        <v>#N/A</v>
      </c>
      <c r="BZ429" s="71"/>
      <c r="CD429" s="20" t="e">
        <f t="shared" si="69"/>
        <v>#N/A</v>
      </c>
    </row>
    <row r="430" spans="1:82" ht="61.5" x14ac:dyDescent="0.85">
      <c r="A430" s="20">
        <v>1</v>
      </c>
      <c r="B430" s="66">
        <f>SUBTOTAL(103,$A$22:A430)</f>
        <v>372</v>
      </c>
      <c r="C430" s="24" t="s">
        <v>821</v>
      </c>
      <c r="D430" s="31">
        <f t="shared" si="76"/>
        <v>3257538.05</v>
      </c>
      <c r="E430" s="31">
        <v>0</v>
      </c>
      <c r="F430" s="31">
        <v>0</v>
      </c>
      <c r="G430" s="31">
        <v>0</v>
      </c>
      <c r="H430" s="31">
        <v>0</v>
      </c>
      <c r="I430" s="31">
        <v>0</v>
      </c>
      <c r="J430" s="31">
        <v>0</v>
      </c>
      <c r="K430" s="33">
        <v>0</v>
      </c>
      <c r="L430" s="31">
        <v>0</v>
      </c>
      <c r="M430" s="31">
        <v>644</v>
      </c>
      <c r="N430" s="31">
        <v>3091170.4899999998</v>
      </c>
      <c r="O430" s="31">
        <v>0</v>
      </c>
      <c r="P430" s="31">
        <v>0</v>
      </c>
      <c r="Q430" s="31">
        <v>0</v>
      </c>
      <c r="R430" s="31">
        <v>0</v>
      </c>
      <c r="S430" s="31">
        <v>0</v>
      </c>
      <c r="T430" s="31">
        <v>0</v>
      </c>
      <c r="U430" s="31">
        <v>0</v>
      </c>
      <c r="V430" s="31">
        <v>0</v>
      </c>
      <c r="W430" s="31">
        <v>0</v>
      </c>
      <c r="X430" s="31">
        <v>0</v>
      </c>
      <c r="Y430" s="31">
        <v>0</v>
      </c>
      <c r="Z430" s="31">
        <v>0</v>
      </c>
      <c r="AA430" s="31">
        <v>0</v>
      </c>
      <c r="AB430" s="31">
        <v>0</v>
      </c>
      <c r="AC430" s="31">
        <f>ROUND(N430*1.5%,2)</f>
        <v>46367.56</v>
      </c>
      <c r="AD430" s="31">
        <v>120000</v>
      </c>
      <c r="AE430" s="31">
        <v>0</v>
      </c>
      <c r="AF430" s="34">
        <v>2020</v>
      </c>
      <c r="AG430" s="34">
        <v>2020</v>
      </c>
      <c r="AH430" s="35">
        <v>2020</v>
      </c>
      <c r="AT430" s="20" t="e">
        <f>VLOOKUP(C430,AW:AX,2,FALSE)</f>
        <v>#N/A</v>
      </c>
      <c r="BZ430" s="71"/>
      <c r="CD430" s="20" t="e">
        <f t="shared" si="69"/>
        <v>#N/A</v>
      </c>
    </row>
    <row r="431" spans="1:82" ht="61.5" x14ac:dyDescent="0.85">
      <c r="A431" s="20">
        <v>1</v>
      </c>
      <c r="B431" s="66">
        <f>SUBTOTAL(103,$A$22:A431)</f>
        <v>373</v>
      </c>
      <c r="C431" s="24" t="s">
        <v>1270</v>
      </c>
      <c r="D431" s="31">
        <f t="shared" si="76"/>
        <v>5055398.59</v>
      </c>
      <c r="E431" s="31">
        <v>420192.57</v>
      </c>
      <c r="F431" s="31">
        <v>698894.43</v>
      </c>
      <c r="G431" s="31">
        <v>3335941.54</v>
      </c>
      <c r="H431" s="31">
        <v>526027.78</v>
      </c>
      <c r="I431" s="31">
        <v>0</v>
      </c>
      <c r="J431" s="31">
        <v>0</v>
      </c>
      <c r="K431" s="33">
        <v>0</v>
      </c>
      <c r="L431" s="31">
        <v>0</v>
      </c>
      <c r="M431" s="31">
        <v>0</v>
      </c>
      <c r="N431" s="31">
        <v>0</v>
      </c>
      <c r="O431" s="31">
        <v>0</v>
      </c>
      <c r="P431" s="31">
        <v>0</v>
      </c>
      <c r="Q431" s="31">
        <v>0</v>
      </c>
      <c r="R431" s="31">
        <v>0</v>
      </c>
      <c r="S431" s="31">
        <v>0</v>
      </c>
      <c r="T431" s="31">
        <v>0</v>
      </c>
      <c r="U431" s="31">
        <v>0</v>
      </c>
      <c r="V431" s="31">
        <v>0</v>
      </c>
      <c r="W431" s="31">
        <v>0</v>
      </c>
      <c r="X431" s="31">
        <v>0</v>
      </c>
      <c r="Y431" s="31">
        <v>0</v>
      </c>
      <c r="Z431" s="31">
        <v>0</v>
      </c>
      <c r="AA431" s="31">
        <v>0</v>
      </c>
      <c r="AB431" s="31">
        <v>0</v>
      </c>
      <c r="AC431" s="31">
        <f>ROUND((E431+F431+G431+H431+I431+J431)*1.4925%,2)</f>
        <v>74342.27</v>
      </c>
      <c r="AD431" s="31">
        <v>0</v>
      </c>
      <c r="AE431" s="31">
        <v>0</v>
      </c>
      <c r="AF431" s="34" t="s">
        <v>274</v>
      </c>
      <c r="AG431" s="34">
        <v>2020</v>
      </c>
      <c r="AH431" s="35">
        <v>2020</v>
      </c>
      <c r="BZ431" s="71"/>
      <c r="CD431" s="20" t="e">
        <f t="shared" si="69"/>
        <v>#N/A</v>
      </c>
    </row>
    <row r="432" spans="1:82" ht="61.5" x14ac:dyDescent="0.85">
      <c r="A432" s="20">
        <v>1</v>
      </c>
      <c r="B432" s="66">
        <f>SUBTOTAL(103,$A$22:A432)</f>
        <v>374</v>
      </c>
      <c r="C432" s="24" t="s">
        <v>1271</v>
      </c>
      <c r="D432" s="31">
        <f t="shared" si="76"/>
        <v>5685725.29</v>
      </c>
      <c r="E432" s="31">
        <v>580158.97</v>
      </c>
      <c r="F432" s="31">
        <v>1111647.94</v>
      </c>
      <c r="G432" s="31">
        <v>3450030.95</v>
      </c>
      <c r="H432" s="31">
        <v>460275.88</v>
      </c>
      <c r="I432" s="31">
        <v>0</v>
      </c>
      <c r="J432" s="31">
        <v>0</v>
      </c>
      <c r="K432" s="33">
        <v>0</v>
      </c>
      <c r="L432" s="31">
        <v>0</v>
      </c>
      <c r="M432" s="31">
        <v>0</v>
      </c>
      <c r="N432" s="31">
        <v>0</v>
      </c>
      <c r="O432" s="31">
        <v>0</v>
      </c>
      <c r="P432" s="31">
        <v>0</v>
      </c>
      <c r="Q432" s="31">
        <v>0</v>
      </c>
      <c r="R432" s="31">
        <v>0</v>
      </c>
      <c r="S432" s="31">
        <v>0</v>
      </c>
      <c r="T432" s="31">
        <v>0</v>
      </c>
      <c r="U432" s="31">
        <v>0</v>
      </c>
      <c r="V432" s="31">
        <v>0</v>
      </c>
      <c r="W432" s="31">
        <v>0</v>
      </c>
      <c r="X432" s="31">
        <v>0</v>
      </c>
      <c r="Y432" s="31">
        <v>0</v>
      </c>
      <c r="Z432" s="31">
        <v>0</v>
      </c>
      <c r="AA432" s="31">
        <v>0</v>
      </c>
      <c r="AB432" s="31">
        <v>0</v>
      </c>
      <c r="AC432" s="31">
        <f>ROUND((E432+F432+G432+H432+I432+J432)*1.4925%,2)</f>
        <v>83611.55</v>
      </c>
      <c r="AD432" s="31">
        <v>0</v>
      </c>
      <c r="AE432" s="31">
        <v>0</v>
      </c>
      <c r="AF432" s="34" t="s">
        <v>274</v>
      </c>
      <c r="AG432" s="34">
        <v>2020</v>
      </c>
      <c r="AH432" s="35">
        <v>2020</v>
      </c>
      <c r="BZ432" s="71"/>
      <c r="CD432" s="20" t="e">
        <f t="shared" si="69"/>
        <v>#N/A</v>
      </c>
    </row>
    <row r="433" spans="1:82" ht="61.5" x14ac:dyDescent="0.85">
      <c r="A433" s="20">
        <v>1</v>
      </c>
      <c r="B433" s="66">
        <f>SUBTOTAL(103,$A$22:A433)</f>
        <v>375</v>
      </c>
      <c r="C433" s="24" t="s">
        <v>1272</v>
      </c>
      <c r="D433" s="31">
        <f t="shared" si="76"/>
        <v>3267591.73</v>
      </c>
      <c r="E433" s="31">
        <v>0</v>
      </c>
      <c r="F433" s="31">
        <v>0</v>
      </c>
      <c r="G433" s="31">
        <v>3219540.09</v>
      </c>
      <c r="H433" s="31">
        <v>0</v>
      </c>
      <c r="I433" s="31">
        <v>0</v>
      </c>
      <c r="J433" s="31">
        <v>0</v>
      </c>
      <c r="K433" s="33">
        <v>0</v>
      </c>
      <c r="L433" s="31">
        <v>0</v>
      </c>
      <c r="M433" s="31">
        <v>0</v>
      </c>
      <c r="N433" s="31">
        <v>0</v>
      </c>
      <c r="O433" s="31">
        <v>0</v>
      </c>
      <c r="P433" s="31">
        <v>0</v>
      </c>
      <c r="Q433" s="31">
        <v>0</v>
      </c>
      <c r="R433" s="31">
        <v>0</v>
      </c>
      <c r="S433" s="31">
        <v>0</v>
      </c>
      <c r="T433" s="31">
        <v>0</v>
      </c>
      <c r="U433" s="31">
        <v>0</v>
      </c>
      <c r="V433" s="31">
        <v>0</v>
      </c>
      <c r="W433" s="31">
        <v>0</v>
      </c>
      <c r="X433" s="31">
        <v>0</v>
      </c>
      <c r="Y433" s="31">
        <v>0</v>
      </c>
      <c r="Z433" s="31">
        <v>0</v>
      </c>
      <c r="AA433" s="31">
        <v>0</v>
      </c>
      <c r="AB433" s="31">
        <v>0</v>
      </c>
      <c r="AC433" s="31">
        <f>ROUND((E433+F433+G433+H433+I433+J433)*1.4925%,2)</f>
        <v>48051.64</v>
      </c>
      <c r="AD433" s="31">
        <v>0</v>
      </c>
      <c r="AE433" s="31">
        <v>0</v>
      </c>
      <c r="AF433" s="34" t="s">
        <v>274</v>
      </c>
      <c r="AG433" s="34">
        <v>2020</v>
      </c>
      <c r="AH433" s="35">
        <v>2020</v>
      </c>
      <c r="BZ433" s="71"/>
      <c r="CD433" s="20" t="e">
        <f t="shared" si="69"/>
        <v>#N/A</v>
      </c>
    </row>
    <row r="434" spans="1:82" ht="61.5" x14ac:dyDescent="0.85">
      <c r="A434" s="20">
        <v>1</v>
      </c>
      <c r="B434" s="66">
        <f>SUBTOTAL(103,$A$22:A434)</f>
        <v>376</v>
      </c>
      <c r="C434" s="24" t="s">
        <v>1273</v>
      </c>
      <c r="D434" s="31">
        <f t="shared" si="76"/>
        <v>9394873.7499999981</v>
      </c>
      <c r="E434" s="31">
        <v>807971.21</v>
      </c>
      <c r="F434" s="31">
        <v>2150667.5499999998</v>
      </c>
      <c r="G434" s="31">
        <f>2197143.37+28815.34</f>
        <v>2225958.71</v>
      </c>
      <c r="H434" s="31">
        <v>1345066.84</v>
      </c>
      <c r="I434" s="31">
        <v>2823224.32</v>
      </c>
      <c r="J434" s="31">
        <v>0</v>
      </c>
      <c r="K434" s="33">
        <v>0</v>
      </c>
      <c r="L434" s="31">
        <v>0</v>
      </c>
      <c r="M434" s="31">
        <v>0</v>
      </c>
      <c r="N434" s="31">
        <v>0</v>
      </c>
      <c r="O434" s="31">
        <v>0</v>
      </c>
      <c r="P434" s="31">
        <v>0</v>
      </c>
      <c r="Q434" s="31">
        <v>0</v>
      </c>
      <c r="R434" s="31">
        <v>0</v>
      </c>
      <c r="S434" s="31">
        <v>0</v>
      </c>
      <c r="T434" s="31">
        <v>0</v>
      </c>
      <c r="U434" s="31">
        <v>0</v>
      </c>
      <c r="V434" s="31">
        <v>0</v>
      </c>
      <c r="W434" s="31">
        <v>0</v>
      </c>
      <c r="X434" s="31">
        <v>0</v>
      </c>
      <c r="Y434" s="31">
        <v>0</v>
      </c>
      <c r="Z434" s="31">
        <v>0</v>
      </c>
      <c r="AA434" s="31">
        <v>0</v>
      </c>
      <c r="AB434" s="31">
        <v>0</v>
      </c>
      <c r="AC434" s="31">
        <f>ROUND((E434+F434+G434+H434+I434+J434)*0.4489%,2)</f>
        <v>41985.120000000003</v>
      </c>
      <c r="AD434" s="31">
        <v>0</v>
      </c>
      <c r="AE434" s="31">
        <v>0</v>
      </c>
      <c r="AF434" s="34" t="s">
        <v>274</v>
      </c>
      <c r="AG434" s="34">
        <v>2020</v>
      </c>
      <c r="AH434" s="35">
        <v>2020</v>
      </c>
      <c r="BZ434" s="71"/>
      <c r="CD434" s="20" t="e">
        <f t="shared" si="69"/>
        <v>#N/A</v>
      </c>
    </row>
    <row r="435" spans="1:82" ht="61.5" x14ac:dyDescent="0.85">
      <c r="A435" s="20">
        <v>1</v>
      </c>
      <c r="B435" s="66">
        <f>SUBTOTAL(103,$A$22:A435)</f>
        <v>377</v>
      </c>
      <c r="C435" s="24" t="s">
        <v>1274</v>
      </c>
      <c r="D435" s="31">
        <f t="shared" si="76"/>
        <v>4636995.57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3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858.98</v>
      </c>
      <c r="R435" s="31">
        <v>4616273.12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f>ROUND(R435*0.4489%,2)</f>
        <v>20722.45</v>
      </c>
      <c r="AD435" s="31">
        <v>0</v>
      </c>
      <c r="AE435" s="31">
        <v>0</v>
      </c>
      <c r="AF435" s="34" t="s">
        <v>274</v>
      </c>
      <c r="AG435" s="34">
        <v>2020</v>
      </c>
      <c r="AH435" s="35">
        <v>2020</v>
      </c>
      <c r="BZ435" s="71"/>
      <c r="CD435" s="20" t="e">
        <f t="shared" si="69"/>
        <v>#N/A</v>
      </c>
    </row>
    <row r="436" spans="1:82" ht="61.5" x14ac:dyDescent="0.85">
      <c r="B436" s="24" t="s">
        <v>869</v>
      </c>
      <c r="C436" s="24"/>
      <c r="D436" s="31">
        <f>SUM(D437:D441)</f>
        <v>12742956.99</v>
      </c>
      <c r="E436" s="31">
        <f t="shared" ref="E436:AE436" si="77">SUM(E437:E441)</f>
        <v>167835.45</v>
      </c>
      <c r="F436" s="31">
        <f t="shared" si="77"/>
        <v>0</v>
      </c>
      <c r="G436" s="31">
        <f t="shared" si="77"/>
        <v>1461558.41</v>
      </c>
      <c r="H436" s="31">
        <f t="shared" si="77"/>
        <v>523667.25</v>
      </c>
      <c r="I436" s="31">
        <f t="shared" si="77"/>
        <v>618954.18000000005</v>
      </c>
      <c r="J436" s="31">
        <f t="shared" si="77"/>
        <v>0</v>
      </c>
      <c r="K436" s="33">
        <f t="shared" si="77"/>
        <v>0</v>
      </c>
      <c r="L436" s="31">
        <f t="shared" si="77"/>
        <v>0</v>
      </c>
      <c r="M436" s="31">
        <f t="shared" si="77"/>
        <v>2213</v>
      </c>
      <c r="N436" s="31">
        <f t="shared" si="77"/>
        <v>9684099.9700000007</v>
      </c>
      <c r="O436" s="31">
        <f t="shared" si="77"/>
        <v>0</v>
      </c>
      <c r="P436" s="31">
        <f t="shared" si="77"/>
        <v>0</v>
      </c>
      <c r="Q436" s="31">
        <f t="shared" si="77"/>
        <v>0</v>
      </c>
      <c r="R436" s="31">
        <f t="shared" si="77"/>
        <v>0</v>
      </c>
      <c r="S436" s="31">
        <f t="shared" si="77"/>
        <v>0</v>
      </c>
      <c r="T436" s="31">
        <f t="shared" si="77"/>
        <v>0</v>
      </c>
      <c r="U436" s="31">
        <f t="shared" si="77"/>
        <v>0</v>
      </c>
      <c r="V436" s="31">
        <f t="shared" si="77"/>
        <v>0</v>
      </c>
      <c r="W436" s="31">
        <f t="shared" si="77"/>
        <v>0</v>
      </c>
      <c r="X436" s="31">
        <f t="shared" si="77"/>
        <v>0</v>
      </c>
      <c r="Y436" s="31">
        <f t="shared" si="77"/>
        <v>0</v>
      </c>
      <c r="Z436" s="31">
        <f t="shared" si="77"/>
        <v>0</v>
      </c>
      <c r="AA436" s="31">
        <f t="shared" si="77"/>
        <v>0</v>
      </c>
      <c r="AB436" s="31">
        <f t="shared" si="77"/>
        <v>0</v>
      </c>
      <c r="AC436" s="31">
        <f t="shared" si="77"/>
        <v>186841.73</v>
      </c>
      <c r="AD436" s="31">
        <f t="shared" si="77"/>
        <v>100000</v>
      </c>
      <c r="AE436" s="31">
        <f t="shared" si="77"/>
        <v>0</v>
      </c>
      <c r="AF436" s="72" t="s">
        <v>776</v>
      </c>
      <c r="AG436" s="72" t="s">
        <v>776</v>
      </c>
      <c r="AH436" s="89" t="s">
        <v>776</v>
      </c>
      <c r="AT436" s="20" t="e">
        <f>VLOOKUP(C436,AW:AX,2,FALSE)</f>
        <v>#N/A</v>
      </c>
      <c r="BZ436" s="71">
        <v>12742956.99</v>
      </c>
      <c r="CB436" s="71">
        <f>BZ436-D436</f>
        <v>0</v>
      </c>
      <c r="CD436" s="20" t="e">
        <f t="shared" si="69"/>
        <v>#N/A</v>
      </c>
    </row>
    <row r="437" spans="1:82" ht="61.5" x14ac:dyDescent="0.85">
      <c r="A437" s="20">
        <v>1</v>
      </c>
      <c r="B437" s="66">
        <f>SUBTOTAL(103,$A$22:A437)</f>
        <v>378</v>
      </c>
      <c r="C437" s="24" t="s">
        <v>44</v>
      </c>
      <c r="D437" s="31">
        <f>E437+F437+G437+H437+I437+J437+L437+N437+P437+R437+T437+U437+V437+W437+X437+Y437+Z437+AA437+AB437+AC437+AD437+AE437</f>
        <v>2894123.18</v>
      </c>
      <c r="E437" s="31">
        <v>0</v>
      </c>
      <c r="F437" s="31">
        <v>0</v>
      </c>
      <c r="G437" s="31">
        <v>0</v>
      </c>
      <c r="H437" s="31">
        <v>0</v>
      </c>
      <c r="I437" s="31">
        <v>0</v>
      </c>
      <c r="J437" s="31">
        <v>0</v>
      </c>
      <c r="K437" s="33">
        <v>0</v>
      </c>
      <c r="L437" s="31">
        <v>0</v>
      </c>
      <c r="M437" s="31">
        <v>631</v>
      </c>
      <c r="N437" s="31">
        <v>2851352.89</v>
      </c>
      <c r="O437" s="31">
        <v>0</v>
      </c>
      <c r="P437" s="31">
        <v>0</v>
      </c>
      <c r="Q437" s="31">
        <v>0</v>
      </c>
      <c r="R437" s="31">
        <v>0</v>
      </c>
      <c r="S437" s="31">
        <v>0</v>
      </c>
      <c r="T437" s="31">
        <v>0</v>
      </c>
      <c r="U437" s="31">
        <v>0</v>
      </c>
      <c r="V437" s="31">
        <v>0</v>
      </c>
      <c r="W437" s="31">
        <v>0</v>
      </c>
      <c r="X437" s="31">
        <v>0</v>
      </c>
      <c r="Y437" s="31">
        <v>0</v>
      </c>
      <c r="Z437" s="31">
        <v>0</v>
      </c>
      <c r="AA437" s="31">
        <v>0</v>
      </c>
      <c r="AB437" s="31">
        <v>0</v>
      </c>
      <c r="AC437" s="31">
        <f>ROUND(N437*1.5%,2)</f>
        <v>42770.29</v>
      </c>
      <c r="AD437" s="31">
        <v>0</v>
      </c>
      <c r="AE437" s="31">
        <v>0</v>
      </c>
      <c r="AF437" s="34" t="s">
        <v>274</v>
      </c>
      <c r="AG437" s="34">
        <v>2020</v>
      </c>
      <c r="AH437" s="35">
        <v>2020</v>
      </c>
      <c r="AT437" s="20" t="e">
        <f>VLOOKUP(C437,AW:AX,2,FALSE)</f>
        <v>#N/A</v>
      </c>
      <c r="BZ437" s="71"/>
      <c r="CD437" s="20">
        <f t="shared" si="69"/>
        <v>631</v>
      </c>
    </row>
    <row r="438" spans="1:82" ht="61.5" x14ac:dyDescent="0.85">
      <c r="A438" s="20">
        <v>1</v>
      </c>
      <c r="B438" s="66">
        <f>SUBTOTAL(103,$A$22:A438)</f>
        <v>379</v>
      </c>
      <c r="C438" s="24" t="s">
        <v>43</v>
      </c>
      <c r="D438" s="31">
        <f>E438+F438+G438+H438+I438+J438+L438+N438+P438+R438+T438+U438+V438+W438+X438+Y438+Z438+AA438+AB438+AC438+AD438+AE438</f>
        <v>2803332.29</v>
      </c>
      <c r="E438" s="31">
        <v>0</v>
      </c>
      <c r="F438" s="31">
        <v>0</v>
      </c>
      <c r="G438" s="31">
        <v>0</v>
      </c>
      <c r="H438" s="31">
        <v>0</v>
      </c>
      <c r="I438" s="31">
        <v>0</v>
      </c>
      <c r="J438" s="31">
        <v>0</v>
      </c>
      <c r="K438" s="33">
        <v>0</v>
      </c>
      <c r="L438" s="31">
        <v>0</v>
      </c>
      <c r="M438" s="31">
        <v>566</v>
      </c>
      <c r="N438" s="31">
        <v>2761903.73</v>
      </c>
      <c r="O438" s="31">
        <v>0</v>
      </c>
      <c r="P438" s="31">
        <v>0</v>
      </c>
      <c r="Q438" s="31">
        <v>0</v>
      </c>
      <c r="R438" s="31">
        <v>0</v>
      </c>
      <c r="S438" s="31">
        <v>0</v>
      </c>
      <c r="T438" s="31">
        <v>0</v>
      </c>
      <c r="U438" s="31">
        <v>0</v>
      </c>
      <c r="V438" s="31">
        <v>0</v>
      </c>
      <c r="W438" s="31">
        <v>0</v>
      </c>
      <c r="X438" s="31">
        <v>0</v>
      </c>
      <c r="Y438" s="31">
        <v>0</v>
      </c>
      <c r="Z438" s="31">
        <v>0</v>
      </c>
      <c r="AA438" s="31">
        <v>0</v>
      </c>
      <c r="AB438" s="31">
        <v>0</v>
      </c>
      <c r="AC438" s="31">
        <f>ROUND(N438*1.5%,2)</f>
        <v>41428.559999999998</v>
      </c>
      <c r="AD438" s="31">
        <v>0</v>
      </c>
      <c r="AE438" s="31">
        <v>0</v>
      </c>
      <c r="AF438" s="34" t="s">
        <v>274</v>
      </c>
      <c r="AG438" s="34">
        <v>2020</v>
      </c>
      <c r="AH438" s="35">
        <v>2020</v>
      </c>
      <c r="AT438" s="20" t="e">
        <f>VLOOKUP(C438,AW:AX,2,FALSE)</f>
        <v>#N/A</v>
      </c>
      <c r="BZ438" s="71"/>
      <c r="CD438" s="20">
        <f t="shared" si="69"/>
        <v>566</v>
      </c>
    </row>
    <row r="439" spans="1:82" ht="61.5" x14ac:dyDescent="0.85">
      <c r="A439" s="20">
        <v>1</v>
      </c>
      <c r="B439" s="66">
        <f>SUBTOTAL(103,$A$22:A439)</f>
        <v>380</v>
      </c>
      <c r="C439" s="24" t="s">
        <v>45</v>
      </c>
      <c r="D439" s="31">
        <f>E439+F439+G439+H439+I439+J439+L439+N439+P439+R439+T439+U439+V439+W439+X439+Y439+Z439+AA439+AB439+AC439+AD439+AE439</f>
        <v>2815620.58</v>
      </c>
      <c r="E439" s="31">
        <v>0</v>
      </c>
      <c r="F439" s="31">
        <v>0</v>
      </c>
      <c r="G439" s="31">
        <v>0</v>
      </c>
      <c r="H439" s="31">
        <v>0</v>
      </c>
      <c r="I439" s="31">
        <v>0</v>
      </c>
      <c r="J439" s="31">
        <v>0</v>
      </c>
      <c r="K439" s="33">
        <v>0</v>
      </c>
      <c r="L439" s="31">
        <v>0</v>
      </c>
      <c r="M439" s="31">
        <v>562</v>
      </c>
      <c r="N439" s="31">
        <v>2774010.42</v>
      </c>
      <c r="O439" s="31">
        <v>0</v>
      </c>
      <c r="P439" s="31">
        <v>0</v>
      </c>
      <c r="Q439" s="31">
        <v>0</v>
      </c>
      <c r="R439" s="31">
        <v>0</v>
      </c>
      <c r="S439" s="31">
        <v>0</v>
      </c>
      <c r="T439" s="31">
        <v>0</v>
      </c>
      <c r="U439" s="31">
        <v>0</v>
      </c>
      <c r="V439" s="31">
        <v>0</v>
      </c>
      <c r="W439" s="31">
        <v>0</v>
      </c>
      <c r="X439" s="31">
        <v>0</v>
      </c>
      <c r="Y439" s="31">
        <v>0</v>
      </c>
      <c r="Z439" s="31">
        <v>0</v>
      </c>
      <c r="AA439" s="31">
        <v>0</v>
      </c>
      <c r="AB439" s="31">
        <v>0</v>
      </c>
      <c r="AC439" s="31">
        <f>ROUND(N439*1.5%,2)</f>
        <v>41610.160000000003</v>
      </c>
      <c r="AD439" s="31">
        <v>0</v>
      </c>
      <c r="AE439" s="31">
        <v>0</v>
      </c>
      <c r="AF439" s="34" t="s">
        <v>274</v>
      </c>
      <c r="AG439" s="34">
        <v>2020</v>
      </c>
      <c r="AH439" s="35">
        <v>2020</v>
      </c>
      <c r="AT439" s="20" t="e">
        <f>VLOOKUP(C439,AW:AX,2,FALSE)</f>
        <v>#N/A</v>
      </c>
      <c r="BZ439" s="71"/>
      <c r="CD439" s="20">
        <f t="shared" si="69"/>
        <v>562</v>
      </c>
    </row>
    <row r="440" spans="1:82" ht="61.5" x14ac:dyDescent="0.85">
      <c r="A440" s="20">
        <v>1</v>
      </c>
      <c r="B440" s="66">
        <f>SUBTOTAL(103,$A$22:A440)</f>
        <v>381</v>
      </c>
      <c r="C440" s="24" t="s">
        <v>1280</v>
      </c>
      <c r="D440" s="31">
        <f>E440+F440+G440+H440+I440+J440+L440+N440+P440+R440+T440+U440+V440+W440+X440+Y440+Z440+AA440+AB440+AC440+AD440+AE440</f>
        <v>2913595.52</v>
      </c>
      <c r="E440" s="31">
        <v>167835.45</v>
      </c>
      <c r="F440" s="31">
        <v>0</v>
      </c>
      <c r="G440" s="31">
        <v>1461558.41</v>
      </c>
      <c r="H440" s="31">
        <v>523667.25</v>
      </c>
      <c r="I440" s="31">
        <v>618954.18000000005</v>
      </c>
      <c r="J440" s="31">
        <v>0</v>
      </c>
      <c r="K440" s="33">
        <v>0</v>
      </c>
      <c r="L440" s="31">
        <v>0</v>
      </c>
      <c r="M440" s="31">
        <v>0</v>
      </c>
      <c r="N440" s="31">
        <v>0</v>
      </c>
      <c r="O440" s="31">
        <v>0</v>
      </c>
      <c r="P440" s="31">
        <v>0</v>
      </c>
      <c r="Q440" s="31">
        <v>0</v>
      </c>
      <c r="R440" s="31">
        <v>0</v>
      </c>
      <c r="S440" s="31">
        <v>0</v>
      </c>
      <c r="T440" s="31">
        <v>0</v>
      </c>
      <c r="U440" s="31">
        <v>0</v>
      </c>
      <c r="V440" s="31">
        <v>0</v>
      </c>
      <c r="W440" s="31">
        <v>0</v>
      </c>
      <c r="X440" s="31">
        <v>0</v>
      </c>
      <c r="Y440" s="31">
        <v>0</v>
      </c>
      <c r="Z440" s="31">
        <v>0</v>
      </c>
      <c r="AA440" s="31">
        <v>0</v>
      </c>
      <c r="AB440" s="31">
        <v>0</v>
      </c>
      <c r="AC440" s="31">
        <f>ROUND((E440+F440+G440+H440+I440+J440)*1.5%,2)</f>
        <v>41580.230000000003</v>
      </c>
      <c r="AD440" s="31">
        <v>100000</v>
      </c>
      <c r="AE440" s="31">
        <v>0</v>
      </c>
      <c r="AF440" s="34">
        <v>2020</v>
      </c>
      <c r="AG440" s="34">
        <v>2020</v>
      </c>
      <c r="AH440" s="35">
        <v>2020</v>
      </c>
      <c r="BZ440" s="71"/>
      <c r="CD440" s="20" t="e">
        <f t="shared" si="69"/>
        <v>#N/A</v>
      </c>
    </row>
    <row r="441" spans="1:82" ht="61.5" x14ac:dyDescent="0.85">
      <c r="A441" s="20">
        <v>1</v>
      </c>
      <c r="B441" s="66">
        <f>SUBTOTAL(103,$A$22:A441)</f>
        <v>382</v>
      </c>
      <c r="C441" s="24" t="s">
        <v>1281</v>
      </c>
      <c r="D441" s="31">
        <f>E441+F441+G441+H441+I441+J441+L441+N441+P441+R441+T441+U441+V441+W441+X441+Y441+Z441+AA441+AB441+AC441+AD441+AE441</f>
        <v>1316285.42</v>
      </c>
      <c r="E441" s="31">
        <v>0</v>
      </c>
      <c r="F441" s="31">
        <v>0</v>
      </c>
      <c r="G441" s="31">
        <v>0</v>
      </c>
      <c r="H441" s="31">
        <v>0</v>
      </c>
      <c r="I441" s="31">
        <v>0</v>
      </c>
      <c r="J441" s="31">
        <v>0</v>
      </c>
      <c r="K441" s="33">
        <v>0</v>
      </c>
      <c r="L441" s="31">
        <v>0</v>
      </c>
      <c r="M441" s="31">
        <v>454</v>
      </c>
      <c r="N441" s="31">
        <v>1296832.93</v>
      </c>
      <c r="O441" s="31">
        <v>0</v>
      </c>
      <c r="P441" s="31">
        <v>0</v>
      </c>
      <c r="Q441" s="31">
        <v>0</v>
      </c>
      <c r="R441" s="31">
        <v>0</v>
      </c>
      <c r="S441" s="31">
        <v>0</v>
      </c>
      <c r="T441" s="31">
        <v>0</v>
      </c>
      <c r="U441" s="31">
        <v>0</v>
      </c>
      <c r="V441" s="31">
        <v>0</v>
      </c>
      <c r="W441" s="31">
        <v>0</v>
      </c>
      <c r="X441" s="31">
        <v>0</v>
      </c>
      <c r="Y441" s="31">
        <v>0</v>
      </c>
      <c r="Z441" s="31">
        <v>0</v>
      </c>
      <c r="AA441" s="31">
        <v>0</v>
      </c>
      <c r="AB441" s="31">
        <v>0</v>
      </c>
      <c r="AC441" s="31">
        <f>ROUND(N441*1.5%,2)</f>
        <v>19452.490000000002</v>
      </c>
      <c r="AD441" s="31">
        <v>0</v>
      </c>
      <c r="AE441" s="31">
        <v>0</v>
      </c>
      <c r="AF441" s="34" t="s">
        <v>274</v>
      </c>
      <c r="AG441" s="34">
        <v>2020</v>
      </c>
      <c r="AH441" s="35">
        <v>2020</v>
      </c>
      <c r="BZ441" s="71"/>
      <c r="CD441" s="20">
        <f t="shared" si="69"/>
        <v>454</v>
      </c>
    </row>
    <row r="442" spans="1:82" ht="61.5" x14ac:dyDescent="0.85">
      <c r="B442" s="24" t="s">
        <v>870</v>
      </c>
      <c r="C442" s="24"/>
      <c r="D442" s="31">
        <f>D443+D444</f>
        <v>6025381.3300000001</v>
      </c>
      <c r="E442" s="31">
        <f t="shared" ref="E442:AE442" si="78">E443+E444</f>
        <v>0</v>
      </c>
      <c r="F442" s="31">
        <f t="shared" si="78"/>
        <v>0</v>
      </c>
      <c r="G442" s="31">
        <f t="shared" si="78"/>
        <v>0</v>
      </c>
      <c r="H442" s="31">
        <f t="shared" si="78"/>
        <v>0</v>
      </c>
      <c r="I442" s="31">
        <f t="shared" si="78"/>
        <v>0</v>
      </c>
      <c r="J442" s="31">
        <f t="shared" si="78"/>
        <v>0</v>
      </c>
      <c r="K442" s="33">
        <f t="shared" si="78"/>
        <v>0</v>
      </c>
      <c r="L442" s="31">
        <f t="shared" si="78"/>
        <v>0</v>
      </c>
      <c r="M442" s="31">
        <f t="shared" si="78"/>
        <v>1342.3</v>
      </c>
      <c r="N442" s="31">
        <f t="shared" si="78"/>
        <v>5936336.2799999993</v>
      </c>
      <c r="O442" s="31">
        <f t="shared" si="78"/>
        <v>0</v>
      </c>
      <c r="P442" s="31">
        <f t="shared" si="78"/>
        <v>0</v>
      </c>
      <c r="Q442" s="31">
        <f t="shared" si="78"/>
        <v>0</v>
      </c>
      <c r="R442" s="31">
        <f t="shared" si="78"/>
        <v>0</v>
      </c>
      <c r="S442" s="31">
        <f t="shared" si="78"/>
        <v>0</v>
      </c>
      <c r="T442" s="31">
        <f t="shared" si="78"/>
        <v>0</v>
      </c>
      <c r="U442" s="31">
        <f t="shared" si="78"/>
        <v>0</v>
      </c>
      <c r="V442" s="31">
        <f t="shared" si="78"/>
        <v>0</v>
      </c>
      <c r="W442" s="31">
        <f t="shared" si="78"/>
        <v>0</v>
      </c>
      <c r="X442" s="31">
        <f t="shared" si="78"/>
        <v>0</v>
      </c>
      <c r="Y442" s="31">
        <f t="shared" si="78"/>
        <v>0</v>
      </c>
      <c r="Z442" s="31">
        <f t="shared" si="78"/>
        <v>0</v>
      </c>
      <c r="AA442" s="31">
        <f t="shared" si="78"/>
        <v>0</v>
      </c>
      <c r="AB442" s="31">
        <f t="shared" si="78"/>
        <v>0</v>
      </c>
      <c r="AC442" s="31">
        <f t="shared" si="78"/>
        <v>89045.05</v>
      </c>
      <c r="AD442" s="31">
        <f t="shared" si="78"/>
        <v>0</v>
      </c>
      <c r="AE442" s="31">
        <f t="shared" si="78"/>
        <v>0</v>
      </c>
      <c r="AF442" s="72" t="s">
        <v>776</v>
      </c>
      <c r="AG442" s="72" t="s">
        <v>776</v>
      </c>
      <c r="AH442" s="89" t="s">
        <v>776</v>
      </c>
      <c r="AT442" s="20" t="e">
        <f>VLOOKUP(C442,AW:AX,2,FALSE)</f>
        <v>#N/A</v>
      </c>
      <c r="BZ442" s="71">
        <v>6025381.3300000001</v>
      </c>
      <c r="CD442" s="20" t="e">
        <f t="shared" si="69"/>
        <v>#N/A</v>
      </c>
    </row>
    <row r="443" spans="1:82" ht="61.5" x14ac:dyDescent="0.85">
      <c r="A443" s="20">
        <v>1</v>
      </c>
      <c r="B443" s="66">
        <f>SUBTOTAL(103,$A$22:A443)</f>
        <v>383</v>
      </c>
      <c r="C443" s="24" t="s">
        <v>42</v>
      </c>
      <c r="D443" s="31">
        <f>E443+F443+G443+H443+I443+J443+L443+N443+P443+R443+T443+U443+V443+W443+X443+Y443+Z443+AA443+AB443+AC443+AD443+AE443</f>
        <v>2857792.39</v>
      </c>
      <c r="E443" s="31">
        <v>0</v>
      </c>
      <c r="F443" s="31">
        <v>0</v>
      </c>
      <c r="G443" s="31">
        <v>0</v>
      </c>
      <c r="H443" s="31">
        <v>0</v>
      </c>
      <c r="I443" s="31">
        <v>0</v>
      </c>
      <c r="J443" s="31">
        <v>0</v>
      </c>
      <c r="K443" s="33">
        <v>0</v>
      </c>
      <c r="L443" s="31">
        <v>0</v>
      </c>
      <c r="M443" s="31">
        <v>595</v>
      </c>
      <c r="N443" s="31">
        <v>2815559</v>
      </c>
      <c r="O443" s="31">
        <v>0</v>
      </c>
      <c r="P443" s="31">
        <v>0</v>
      </c>
      <c r="Q443" s="31">
        <v>0</v>
      </c>
      <c r="R443" s="31">
        <v>0</v>
      </c>
      <c r="S443" s="31">
        <v>0</v>
      </c>
      <c r="T443" s="31">
        <v>0</v>
      </c>
      <c r="U443" s="31">
        <v>0</v>
      </c>
      <c r="V443" s="31">
        <v>0</v>
      </c>
      <c r="W443" s="31">
        <v>0</v>
      </c>
      <c r="X443" s="31">
        <v>0</v>
      </c>
      <c r="Y443" s="31">
        <v>0</v>
      </c>
      <c r="Z443" s="31">
        <v>0</v>
      </c>
      <c r="AA443" s="31">
        <v>0</v>
      </c>
      <c r="AB443" s="31">
        <v>0</v>
      </c>
      <c r="AC443" s="31">
        <f>ROUND(N443*1.5%,2)</f>
        <v>42233.39</v>
      </c>
      <c r="AD443" s="31">
        <v>0</v>
      </c>
      <c r="AE443" s="31">
        <v>0</v>
      </c>
      <c r="AF443" s="34" t="s">
        <v>274</v>
      </c>
      <c r="AG443" s="34">
        <v>2020</v>
      </c>
      <c r="AH443" s="35">
        <v>2020</v>
      </c>
      <c r="AT443" s="20" t="e">
        <f>VLOOKUP(C443,AW:AX,2,FALSE)</f>
        <v>#N/A</v>
      </c>
      <c r="BZ443" s="71"/>
      <c r="CD443" s="20">
        <f t="shared" si="69"/>
        <v>595</v>
      </c>
    </row>
    <row r="444" spans="1:82" ht="61.5" x14ac:dyDescent="0.85">
      <c r="A444" s="20">
        <v>1</v>
      </c>
      <c r="B444" s="66">
        <f>SUBTOTAL(103,$A$22:A444)</f>
        <v>384</v>
      </c>
      <c r="C444" s="24" t="s">
        <v>1604</v>
      </c>
      <c r="D444" s="31">
        <f>E444+F444+G444+H444+I444+J444+L444+N444+P444+R444+T444+U444+V444+W444+X444+Y444+Z444+AA444+AB444+AC444+AD444+AE444</f>
        <v>3167588.94</v>
      </c>
      <c r="E444" s="31">
        <v>0</v>
      </c>
      <c r="F444" s="31">
        <v>0</v>
      </c>
      <c r="G444" s="31">
        <v>0</v>
      </c>
      <c r="H444" s="31">
        <v>0</v>
      </c>
      <c r="I444" s="31">
        <v>0</v>
      </c>
      <c r="J444" s="31">
        <v>0</v>
      </c>
      <c r="K444" s="33">
        <v>0</v>
      </c>
      <c r="L444" s="31">
        <v>0</v>
      </c>
      <c r="M444" s="31">
        <v>747.3</v>
      </c>
      <c r="N444" s="31">
        <v>3120777.28</v>
      </c>
      <c r="O444" s="31">
        <v>0</v>
      </c>
      <c r="P444" s="31">
        <v>0</v>
      </c>
      <c r="Q444" s="31">
        <v>0</v>
      </c>
      <c r="R444" s="31">
        <v>0</v>
      </c>
      <c r="S444" s="31">
        <v>0</v>
      </c>
      <c r="T444" s="31">
        <v>0</v>
      </c>
      <c r="U444" s="31">
        <v>0</v>
      </c>
      <c r="V444" s="31">
        <v>0</v>
      </c>
      <c r="W444" s="31">
        <v>0</v>
      </c>
      <c r="X444" s="31">
        <v>0</v>
      </c>
      <c r="Y444" s="31">
        <v>0</v>
      </c>
      <c r="Z444" s="31">
        <v>0</v>
      </c>
      <c r="AA444" s="31">
        <v>0</v>
      </c>
      <c r="AB444" s="31">
        <v>0</v>
      </c>
      <c r="AC444" s="31">
        <v>46811.66</v>
      </c>
      <c r="AD444" s="31">
        <v>0</v>
      </c>
      <c r="AE444" s="31">
        <v>0</v>
      </c>
      <c r="AF444" s="34" t="s">
        <v>274</v>
      </c>
      <c r="AG444" s="34">
        <v>2020</v>
      </c>
      <c r="AH444" s="35">
        <v>2020</v>
      </c>
      <c r="BZ444" s="71"/>
      <c r="CD444" s="20">
        <f t="shared" si="69"/>
        <v>747.3</v>
      </c>
    </row>
    <row r="445" spans="1:82" ht="61.5" x14ac:dyDescent="0.85">
      <c r="B445" s="24" t="s">
        <v>871</v>
      </c>
      <c r="C445" s="24"/>
      <c r="D445" s="31">
        <f>SUM(D446:D454)</f>
        <v>29961094.709999993</v>
      </c>
      <c r="E445" s="31">
        <f t="shared" ref="E445:AE445" si="79">SUM(E446:E454)</f>
        <v>0</v>
      </c>
      <c r="F445" s="31">
        <f t="shared" si="79"/>
        <v>0</v>
      </c>
      <c r="G445" s="31">
        <f t="shared" si="79"/>
        <v>0</v>
      </c>
      <c r="H445" s="31">
        <f t="shared" si="79"/>
        <v>0</v>
      </c>
      <c r="I445" s="31">
        <f t="shared" si="79"/>
        <v>0</v>
      </c>
      <c r="J445" s="31">
        <f t="shared" si="79"/>
        <v>0</v>
      </c>
      <c r="K445" s="33">
        <f t="shared" si="79"/>
        <v>0</v>
      </c>
      <c r="L445" s="31">
        <f t="shared" si="79"/>
        <v>0</v>
      </c>
      <c r="M445" s="31">
        <f t="shared" si="79"/>
        <v>5617.24</v>
      </c>
      <c r="N445" s="31">
        <f t="shared" si="79"/>
        <v>24734781.110000003</v>
      </c>
      <c r="O445" s="31">
        <f t="shared" si="79"/>
        <v>0</v>
      </c>
      <c r="P445" s="31">
        <f t="shared" si="79"/>
        <v>0</v>
      </c>
      <c r="Q445" s="31">
        <f t="shared" si="79"/>
        <v>2886.45</v>
      </c>
      <c r="R445" s="31">
        <f t="shared" si="79"/>
        <v>4308518.51</v>
      </c>
      <c r="S445" s="31">
        <f t="shared" si="79"/>
        <v>0</v>
      </c>
      <c r="T445" s="31">
        <f t="shared" si="79"/>
        <v>0</v>
      </c>
      <c r="U445" s="31">
        <f t="shared" si="79"/>
        <v>0</v>
      </c>
      <c r="V445" s="31">
        <f t="shared" si="79"/>
        <v>0</v>
      </c>
      <c r="W445" s="31">
        <f t="shared" si="79"/>
        <v>0</v>
      </c>
      <c r="X445" s="31">
        <f t="shared" si="79"/>
        <v>0</v>
      </c>
      <c r="Y445" s="31">
        <f t="shared" si="79"/>
        <v>0</v>
      </c>
      <c r="Z445" s="31">
        <f t="shared" si="79"/>
        <v>0</v>
      </c>
      <c r="AA445" s="31">
        <f t="shared" si="79"/>
        <v>0</v>
      </c>
      <c r="AB445" s="31">
        <f t="shared" si="79"/>
        <v>0</v>
      </c>
      <c r="AC445" s="31">
        <f t="shared" si="79"/>
        <v>435649.49999999994</v>
      </c>
      <c r="AD445" s="31">
        <f t="shared" si="79"/>
        <v>482145.58999999997</v>
      </c>
      <c r="AE445" s="31">
        <f t="shared" si="79"/>
        <v>0</v>
      </c>
      <c r="AF445" s="72" t="s">
        <v>776</v>
      </c>
      <c r="AG445" s="72" t="s">
        <v>776</v>
      </c>
      <c r="AH445" s="89" t="s">
        <v>776</v>
      </c>
      <c r="AT445" s="20" t="e">
        <f>VLOOKUP(C445,AW:AX,2,FALSE)</f>
        <v>#N/A</v>
      </c>
      <c r="BZ445" s="71">
        <v>29961094.709999993</v>
      </c>
      <c r="CD445" s="20" t="e">
        <f t="shared" si="69"/>
        <v>#N/A</v>
      </c>
    </row>
    <row r="446" spans="1:82" ht="61.5" x14ac:dyDescent="0.85">
      <c r="A446" s="20">
        <v>1</v>
      </c>
      <c r="B446" s="66">
        <f>SUBTOTAL(103,$A$22:A446)</f>
        <v>385</v>
      </c>
      <c r="C446" s="24" t="s">
        <v>50</v>
      </c>
      <c r="D446" s="31">
        <f t="shared" ref="D446:D454" si="80">E446+F446+G446+H446+I446+J446+L446+N446+P446+R446+T446+U446+V446+W446+X446+Y446+Z446+AA446+AB446+AC446+AD446+AE446</f>
        <v>4525933.4200000009</v>
      </c>
      <c r="E446" s="31">
        <v>0</v>
      </c>
      <c r="F446" s="31">
        <v>0</v>
      </c>
      <c r="G446" s="31">
        <v>0</v>
      </c>
      <c r="H446" s="31">
        <v>0</v>
      </c>
      <c r="I446" s="31">
        <v>0</v>
      </c>
      <c r="J446" s="31">
        <v>0</v>
      </c>
      <c r="K446" s="33">
        <v>0</v>
      </c>
      <c r="L446" s="31">
        <v>0</v>
      </c>
      <c r="M446" s="31">
        <v>867.3</v>
      </c>
      <c r="N446" s="31">
        <v>4314154.82</v>
      </c>
      <c r="O446" s="31">
        <v>0</v>
      </c>
      <c r="P446" s="31">
        <v>0</v>
      </c>
      <c r="Q446" s="31">
        <v>0</v>
      </c>
      <c r="R446" s="31">
        <v>0</v>
      </c>
      <c r="S446" s="31">
        <v>0</v>
      </c>
      <c r="T446" s="31">
        <v>0</v>
      </c>
      <c r="U446" s="31">
        <v>0</v>
      </c>
      <c r="V446" s="31">
        <v>0</v>
      </c>
      <c r="W446" s="31">
        <v>0</v>
      </c>
      <c r="X446" s="31">
        <v>0</v>
      </c>
      <c r="Y446" s="31">
        <v>0</v>
      </c>
      <c r="Z446" s="31">
        <v>0</v>
      </c>
      <c r="AA446" s="31">
        <v>0</v>
      </c>
      <c r="AB446" s="31">
        <v>0</v>
      </c>
      <c r="AC446" s="31">
        <f t="shared" ref="AC446:AC451" si="81">ROUND(N446*1.5%,2)</f>
        <v>64712.32</v>
      </c>
      <c r="AD446" s="31">
        <v>147066.28</v>
      </c>
      <c r="AE446" s="31">
        <v>0</v>
      </c>
      <c r="AF446" s="34">
        <v>2020</v>
      </c>
      <c r="AG446" s="34">
        <v>2020</v>
      </c>
      <c r="AH446" s="35">
        <v>2020</v>
      </c>
      <c r="AT446" s="20" t="e">
        <f>VLOOKUP(C446,AW:AX,2,FALSE)</f>
        <v>#N/A</v>
      </c>
      <c r="BZ446" s="71"/>
      <c r="CD446" s="20" t="e">
        <f t="shared" si="69"/>
        <v>#N/A</v>
      </c>
    </row>
    <row r="447" spans="1:82" ht="61.5" x14ac:dyDescent="0.85">
      <c r="A447" s="20">
        <v>1</v>
      </c>
      <c r="B447" s="66">
        <f>SUBTOTAL(103,$A$22:A447)</f>
        <v>386</v>
      </c>
      <c r="C447" s="24" t="s">
        <v>48</v>
      </c>
      <c r="D447" s="31">
        <f t="shared" si="80"/>
        <v>3351574.4499999997</v>
      </c>
      <c r="E447" s="31">
        <v>0</v>
      </c>
      <c r="F447" s="31">
        <v>0</v>
      </c>
      <c r="G447" s="31">
        <v>0</v>
      </c>
      <c r="H447" s="31">
        <v>0</v>
      </c>
      <c r="I447" s="31">
        <v>0</v>
      </c>
      <c r="J447" s="31">
        <v>0</v>
      </c>
      <c r="K447" s="33">
        <v>0</v>
      </c>
      <c r="L447" s="31">
        <v>0</v>
      </c>
      <c r="M447" s="31">
        <v>652.70000000000005</v>
      </c>
      <c r="N447" s="31">
        <v>3210117.1</v>
      </c>
      <c r="O447" s="31">
        <v>0</v>
      </c>
      <c r="P447" s="31">
        <v>0</v>
      </c>
      <c r="Q447" s="31">
        <v>0</v>
      </c>
      <c r="R447" s="31">
        <v>0</v>
      </c>
      <c r="S447" s="31">
        <v>0</v>
      </c>
      <c r="T447" s="31">
        <v>0</v>
      </c>
      <c r="U447" s="31">
        <v>0</v>
      </c>
      <c r="V447" s="31">
        <v>0</v>
      </c>
      <c r="W447" s="31">
        <v>0</v>
      </c>
      <c r="X447" s="31">
        <v>0</v>
      </c>
      <c r="Y447" s="31">
        <v>0</v>
      </c>
      <c r="Z447" s="31">
        <v>0</v>
      </c>
      <c r="AA447" s="31">
        <v>0</v>
      </c>
      <c r="AB447" s="31">
        <v>0</v>
      </c>
      <c r="AC447" s="31">
        <f t="shared" si="81"/>
        <v>48151.76</v>
      </c>
      <c r="AD447" s="31">
        <v>93305.59</v>
      </c>
      <c r="AE447" s="31">
        <v>0</v>
      </c>
      <c r="AF447" s="34">
        <v>2020</v>
      </c>
      <c r="AG447" s="34">
        <v>2020</v>
      </c>
      <c r="AH447" s="35">
        <v>2020</v>
      </c>
      <c r="AT447" s="20" t="e">
        <f>VLOOKUP(C447,AW:AX,2,FALSE)</f>
        <v>#N/A</v>
      </c>
      <c r="BZ447" s="71"/>
      <c r="CD447" s="20" t="e">
        <f t="shared" si="69"/>
        <v>#N/A</v>
      </c>
    </row>
    <row r="448" spans="1:82" ht="61.5" x14ac:dyDescent="0.85">
      <c r="A448" s="20">
        <v>1</v>
      </c>
      <c r="B448" s="66">
        <f>SUBTOTAL(103,$A$22:A448)</f>
        <v>387</v>
      </c>
      <c r="C448" s="24" t="s">
        <v>49</v>
      </c>
      <c r="D448" s="31">
        <f t="shared" si="80"/>
        <v>4680435.38</v>
      </c>
      <c r="E448" s="31">
        <v>0</v>
      </c>
      <c r="F448" s="31">
        <v>0</v>
      </c>
      <c r="G448" s="31">
        <v>0</v>
      </c>
      <c r="H448" s="31">
        <v>0</v>
      </c>
      <c r="I448" s="31">
        <v>0</v>
      </c>
      <c r="J448" s="31">
        <v>0</v>
      </c>
      <c r="K448" s="33">
        <v>0</v>
      </c>
      <c r="L448" s="31">
        <v>0</v>
      </c>
      <c r="M448" s="31">
        <v>896.9</v>
      </c>
      <c r="N448" s="31">
        <v>4466435.88</v>
      </c>
      <c r="O448" s="31">
        <v>0</v>
      </c>
      <c r="P448" s="31">
        <v>0</v>
      </c>
      <c r="Q448" s="31">
        <v>0</v>
      </c>
      <c r="R448" s="31">
        <v>0</v>
      </c>
      <c r="S448" s="31">
        <v>0</v>
      </c>
      <c r="T448" s="31">
        <v>0</v>
      </c>
      <c r="U448" s="31">
        <v>0</v>
      </c>
      <c r="V448" s="31">
        <v>0</v>
      </c>
      <c r="W448" s="31">
        <v>0</v>
      </c>
      <c r="X448" s="31">
        <v>0</v>
      </c>
      <c r="Y448" s="31">
        <v>0</v>
      </c>
      <c r="Z448" s="31">
        <v>0</v>
      </c>
      <c r="AA448" s="31">
        <v>0</v>
      </c>
      <c r="AB448" s="31">
        <v>0</v>
      </c>
      <c r="AC448" s="31">
        <f t="shared" si="81"/>
        <v>66996.539999999994</v>
      </c>
      <c r="AD448" s="31">
        <v>147002.96</v>
      </c>
      <c r="AE448" s="31">
        <v>0</v>
      </c>
      <c r="AF448" s="34">
        <v>2020</v>
      </c>
      <c r="AG448" s="34">
        <v>2020</v>
      </c>
      <c r="AH448" s="35">
        <v>2020</v>
      </c>
      <c r="AT448" s="20">
        <f>VLOOKUP(C448,AW:AX,2,FALSE)</f>
        <v>1</v>
      </c>
      <c r="BZ448" s="71"/>
      <c r="CD448" s="20" t="e">
        <f t="shared" si="69"/>
        <v>#N/A</v>
      </c>
    </row>
    <row r="449" spans="1:82" ht="61.5" x14ac:dyDescent="0.85">
      <c r="A449" s="20">
        <v>1</v>
      </c>
      <c r="B449" s="66">
        <f>SUBTOTAL(103,$A$22:A449)</f>
        <v>388</v>
      </c>
      <c r="C449" s="24" t="s">
        <v>51</v>
      </c>
      <c r="D449" s="31">
        <f t="shared" si="80"/>
        <v>3500816.5599999996</v>
      </c>
      <c r="E449" s="31">
        <v>0</v>
      </c>
      <c r="F449" s="31">
        <v>0</v>
      </c>
      <c r="G449" s="31">
        <v>0</v>
      </c>
      <c r="H449" s="31">
        <v>0</v>
      </c>
      <c r="I449" s="31">
        <v>0</v>
      </c>
      <c r="J449" s="31">
        <v>0</v>
      </c>
      <c r="K449" s="33">
        <v>0</v>
      </c>
      <c r="L449" s="31">
        <v>0</v>
      </c>
      <c r="M449" s="31">
        <v>681</v>
      </c>
      <c r="N449" s="31">
        <v>3355710.15</v>
      </c>
      <c r="O449" s="31">
        <v>0</v>
      </c>
      <c r="P449" s="31">
        <v>0</v>
      </c>
      <c r="Q449" s="31">
        <v>0</v>
      </c>
      <c r="R449" s="31">
        <v>0</v>
      </c>
      <c r="S449" s="31">
        <v>0</v>
      </c>
      <c r="T449" s="31">
        <v>0</v>
      </c>
      <c r="U449" s="31">
        <v>0</v>
      </c>
      <c r="V449" s="31">
        <v>0</v>
      </c>
      <c r="W449" s="31">
        <v>0</v>
      </c>
      <c r="X449" s="31">
        <v>0</v>
      </c>
      <c r="Y449" s="31">
        <v>0</v>
      </c>
      <c r="Z449" s="31">
        <v>0</v>
      </c>
      <c r="AA449" s="31">
        <v>0</v>
      </c>
      <c r="AB449" s="31">
        <v>0</v>
      </c>
      <c r="AC449" s="31">
        <f t="shared" si="81"/>
        <v>50335.65</v>
      </c>
      <c r="AD449" s="31">
        <v>94770.76</v>
      </c>
      <c r="AE449" s="31">
        <v>0</v>
      </c>
      <c r="AF449" s="34">
        <v>2020</v>
      </c>
      <c r="AG449" s="34">
        <v>2020</v>
      </c>
      <c r="AH449" s="35">
        <v>2020</v>
      </c>
      <c r="AT449" s="20" t="e">
        <f>VLOOKUP(C449,AW:AX,2,FALSE)</f>
        <v>#N/A</v>
      </c>
      <c r="BZ449" s="71"/>
      <c r="CD449" s="20" t="e">
        <f t="shared" si="69"/>
        <v>#N/A</v>
      </c>
    </row>
    <row r="450" spans="1:82" ht="61.5" x14ac:dyDescent="0.85">
      <c r="A450" s="20">
        <v>1</v>
      </c>
      <c r="B450" s="66">
        <f>SUBTOTAL(103,$A$22:A450)</f>
        <v>389</v>
      </c>
      <c r="C450" s="24" t="s">
        <v>1275</v>
      </c>
      <c r="D450" s="31">
        <f t="shared" si="80"/>
        <v>3146286.42</v>
      </c>
      <c r="E450" s="31">
        <v>0</v>
      </c>
      <c r="F450" s="31">
        <v>0</v>
      </c>
      <c r="G450" s="31">
        <v>0</v>
      </c>
      <c r="H450" s="31">
        <v>0</v>
      </c>
      <c r="I450" s="31">
        <v>0</v>
      </c>
      <c r="J450" s="31">
        <v>0</v>
      </c>
      <c r="K450" s="33">
        <v>0</v>
      </c>
      <c r="L450" s="31">
        <v>0</v>
      </c>
      <c r="M450" s="31">
        <v>678.5</v>
      </c>
      <c r="N450" s="31">
        <v>3099789.58</v>
      </c>
      <c r="O450" s="31">
        <v>0</v>
      </c>
      <c r="P450" s="31">
        <v>0</v>
      </c>
      <c r="Q450" s="31">
        <v>0</v>
      </c>
      <c r="R450" s="31">
        <v>0</v>
      </c>
      <c r="S450" s="31">
        <v>0</v>
      </c>
      <c r="T450" s="31">
        <v>0</v>
      </c>
      <c r="U450" s="31">
        <v>0</v>
      </c>
      <c r="V450" s="31">
        <v>0</v>
      </c>
      <c r="W450" s="31">
        <v>0</v>
      </c>
      <c r="X450" s="31">
        <v>0</v>
      </c>
      <c r="Y450" s="31">
        <v>0</v>
      </c>
      <c r="Z450" s="31">
        <v>0</v>
      </c>
      <c r="AA450" s="31">
        <v>0</v>
      </c>
      <c r="AB450" s="31">
        <v>0</v>
      </c>
      <c r="AC450" s="31">
        <f t="shared" si="81"/>
        <v>46496.84</v>
      </c>
      <c r="AD450" s="31">
        <v>0</v>
      </c>
      <c r="AE450" s="31">
        <v>0</v>
      </c>
      <c r="AF450" s="34" t="s">
        <v>274</v>
      </c>
      <c r="AG450" s="34">
        <v>2020</v>
      </c>
      <c r="AH450" s="35">
        <v>2020</v>
      </c>
      <c r="BZ450" s="71"/>
      <c r="CD450" s="20">
        <f t="shared" si="69"/>
        <v>678.5</v>
      </c>
    </row>
    <row r="451" spans="1:82" ht="61.5" x14ac:dyDescent="0.85">
      <c r="A451" s="20">
        <v>1</v>
      </c>
      <c r="B451" s="66">
        <f>SUBTOTAL(103,$A$22:A451)</f>
        <v>390</v>
      </c>
      <c r="C451" s="24" t="s">
        <v>1276</v>
      </c>
      <c r="D451" s="31">
        <f t="shared" si="80"/>
        <v>3254584.31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3">
        <v>0</v>
      </c>
      <c r="L451" s="31">
        <v>0</v>
      </c>
      <c r="M451" s="31">
        <v>1278.8</v>
      </c>
      <c r="N451" s="31">
        <v>3206487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f t="shared" si="81"/>
        <v>48097.31</v>
      </c>
      <c r="AD451" s="31">
        <v>0</v>
      </c>
      <c r="AE451" s="31">
        <v>0</v>
      </c>
      <c r="AF451" s="34" t="s">
        <v>274</v>
      </c>
      <c r="AG451" s="34">
        <v>2020</v>
      </c>
      <c r="AH451" s="35">
        <v>2020</v>
      </c>
      <c r="BZ451" s="71"/>
      <c r="CD451" s="20">
        <f t="shared" si="69"/>
        <v>1278.8</v>
      </c>
    </row>
    <row r="452" spans="1:82" ht="61.5" x14ac:dyDescent="0.85">
      <c r="A452" s="20">
        <v>1</v>
      </c>
      <c r="B452" s="66">
        <f>SUBTOTAL(103,$A$22:A452)</f>
        <v>391</v>
      </c>
      <c r="C452" s="24" t="s">
        <v>1277</v>
      </c>
      <c r="D452" s="31">
        <f t="shared" si="80"/>
        <v>4373146.29</v>
      </c>
      <c r="E452" s="31">
        <v>0</v>
      </c>
      <c r="F452" s="31">
        <v>0</v>
      </c>
      <c r="G452" s="31">
        <v>0</v>
      </c>
      <c r="H452" s="31">
        <v>0</v>
      </c>
      <c r="I452" s="31">
        <v>0</v>
      </c>
      <c r="J452" s="31">
        <v>0</v>
      </c>
      <c r="K452" s="33">
        <v>0</v>
      </c>
      <c r="L452" s="31">
        <v>0</v>
      </c>
      <c r="M452" s="31">
        <v>0</v>
      </c>
      <c r="N452" s="31">
        <v>0</v>
      </c>
      <c r="O452" s="31">
        <v>0</v>
      </c>
      <c r="P452" s="31">
        <v>0</v>
      </c>
      <c r="Q452" s="31">
        <v>2886.45</v>
      </c>
      <c r="R452" s="31">
        <v>4308518.51</v>
      </c>
      <c r="S452" s="31">
        <v>0</v>
      </c>
      <c r="T452" s="31">
        <v>0</v>
      </c>
      <c r="U452" s="31">
        <v>0</v>
      </c>
      <c r="V452" s="31">
        <v>0</v>
      </c>
      <c r="W452" s="31">
        <v>0</v>
      </c>
      <c r="X452" s="31">
        <v>0</v>
      </c>
      <c r="Y452" s="31">
        <v>0</v>
      </c>
      <c r="Z452" s="31">
        <v>0</v>
      </c>
      <c r="AA452" s="31">
        <v>0</v>
      </c>
      <c r="AB452" s="31">
        <v>0</v>
      </c>
      <c r="AC452" s="31">
        <f>ROUND(R452*1.5%,2)</f>
        <v>64627.78</v>
      </c>
      <c r="AD452" s="31">
        <v>0</v>
      </c>
      <c r="AE452" s="31">
        <v>0</v>
      </c>
      <c r="AF452" s="34" t="s">
        <v>274</v>
      </c>
      <c r="AG452" s="34">
        <v>2020</v>
      </c>
      <c r="AH452" s="35">
        <v>2020</v>
      </c>
      <c r="BZ452" s="71"/>
      <c r="CD452" s="20" t="e">
        <f t="shared" si="69"/>
        <v>#N/A</v>
      </c>
    </row>
    <row r="453" spans="1:82" ht="61.5" x14ac:dyDescent="0.85">
      <c r="A453" s="20">
        <v>1</v>
      </c>
      <c r="B453" s="66">
        <f>SUBTOTAL(103,$A$22:A453)</f>
        <v>392</v>
      </c>
      <c r="C453" s="24" t="s">
        <v>1278</v>
      </c>
      <c r="D453" s="31">
        <f t="shared" si="80"/>
        <v>1452832.41</v>
      </c>
      <c r="E453" s="31">
        <v>0</v>
      </c>
      <c r="F453" s="31">
        <v>0</v>
      </c>
      <c r="G453" s="31">
        <v>0</v>
      </c>
      <c r="H453" s="31">
        <v>0</v>
      </c>
      <c r="I453" s="31">
        <v>0</v>
      </c>
      <c r="J453" s="31">
        <v>0</v>
      </c>
      <c r="K453" s="33">
        <v>0</v>
      </c>
      <c r="L453" s="31">
        <v>0</v>
      </c>
      <c r="M453" s="31">
        <v>225.04</v>
      </c>
      <c r="N453" s="31">
        <f>931361.98+500000</f>
        <v>1431361.98</v>
      </c>
      <c r="O453" s="31">
        <v>0</v>
      </c>
      <c r="P453" s="31">
        <v>0</v>
      </c>
      <c r="Q453" s="31">
        <v>0</v>
      </c>
      <c r="R453" s="31">
        <v>0</v>
      </c>
      <c r="S453" s="31">
        <v>0</v>
      </c>
      <c r="T453" s="31">
        <v>0</v>
      </c>
      <c r="U453" s="31">
        <v>0</v>
      </c>
      <c r="V453" s="31">
        <v>0</v>
      </c>
      <c r="W453" s="31">
        <v>0</v>
      </c>
      <c r="X453" s="31">
        <v>0</v>
      </c>
      <c r="Y453" s="31">
        <v>0</v>
      </c>
      <c r="Z453" s="31">
        <v>0</v>
      </c>
      <c r="AA453" s="31">
        <v>0</v>
      </c>
      <c r="AB453" s="31">
        <v>0</v>
      </c>
      <c r="AC453" s="31">
        <f>ROUND(N453*1.5%,2)</f>
        <v>21470.43</v>
      </c>
      <c r="AD453" s="31">
        <v>0</v>
      </c>
      <c r="AE453" s="31">
        <v>0</v>
      </c>
      <c r="AF453" s="34" t="s">
        <v>274</v>
      </c>
      <c r="AG453" s="34">
        <v>2020</v>
      </c>
      <c r="AH453" s="35">
        <v>2020</v>
      </c>
      <c r="BZ453" s="71"/>
      <c r="CD453" s="20">
        <f t="shared" si="69"/>
        <v>225.04</v>
      </c>
    </row>
    <row r="454" spans="1:82" ht="61.5" x14ac:dyDescent="0.85">
      <c r="A454" s="20">
        <v>1</v>
      </c>
      <c r="B454" s="66">
        <f>SUBTOTAL(103,$A$22:A454)</f>
        <v>393</v>
      </c>
      <c r="C454" s="24" t="s">
        <v>1279</v>
      </c>
      <c r="D454" s="31">
        <f t="shared" si="80"/>
        <v>1675485.4700000002</v>
      </c>
      <c r="E454" s="31">
        <v>0</v>
      </c>
      <c r="F454" s="31">
        <v>0</v>
      </c>
      <c r="G454" s="31">
        <v>0</v>
      </c>
      <c r="H454" s="31">
        <v>0</v>
      </c>
      <c r="I454" s="31">
        <v>0</v>
      </c>
      <c r="J454" s="31">
        <v>0</v>
      </c>
      <c r="K454" s="33">
        <v>0</v>
      </c>
      <c r="L454" s="31">
        <v>0</v>
      </c>
      <c r="M454" s="31">
        <v>337</v>
      </c>
      <c r="N454" s="31">
        <f>1659940-9215.4</f>
        <v>1650724.6</v>
      </c>
      <c r="O454" s="31">
        <v>0</v>
      </c>
      <c r="P454" s="31">
        <v>0</v>
      </c>
      <c r="Q454" s="31">
        <v>0</v>
      </c>
      <c r="R454" s="31">
        <v>0</v>
      </c>
      <c r="S454" s="31">
        <v>0</v>
      </c>
      <c r="T454" s="31">
        <v>0</v>
      </c>
      <c r="U454" s="31">
        <v>0</v>
      </c>
      <c r="V454" s="31">
        <v>0</v>
      </c>
      <c r="W454" s="31">
        <v>0</v>
      </c>
      <c r="X454" s="31">
        <v>0</v>
      </c>
      <c r="Y454" s="31">
        <v>0</v>
      </c>
      <c r="Z454" s="31">
        <v>0</v>
      </c>
      <c r="AA454" s="31">
        <v>0</v>
      </c>
      <c r="AB454" s="31">
        <v>0</v>
      </c>
      <c r="AC454" s="31">
        <f>ROUND(N454*1.5%,2)</f>
        <v>24760.87</v>
      </c>
      <c r="AD454" s="31">
        <v>0</v>
      </c>
      <c r="AE454" s="31">
        <v>0</v>
      </c>
      <c r="AF454" s="34" t="s">
        <v>274</v>
      </c>
      <c r="AG454" s="34">
        <v>2020</v>
      </c>
      <c r="AH454" s="35">
        <v>2020</v>
      </c>
      <c r="BZ454" s="71"/>
      <c r="CD454" s="20">
        <f t="shared" si="69"/>
        <v>337</v>
      </c>
    </row>
    <row r="455" spans="1:82" ht="61.5" x14ac:dyDescent="0.85">
      <c r="B455" s="24" t="s">
        <v>901</v>
      </c>
      <c r="C455" s="166"/>
      <c r="D455" s="31">
        <f>D456</f>
        <v>2521615.3599999999</v>
      </c>
      <c r="E455" s="31">
        <f t="shared" ref="E455:AE455" si="82">E456</f>
        <v>0</v>
      </c>
      <c r="F455" s="31">
        <f t="shared" si="82"/>
        <v>0</v>
      </c>
      <c r="G455" s="31">
        <f t="shared" si="82"/>
        <v>0</v>
      </c>
      <c r="H455" s="31">
        <f t="shared" si="82"/>
        <v>0</v>
      </c>
      <c r="I455" s="31">
        <f t="shared" si="82"/>
        <v>0</v>
      </c>
      <c r="J455" s="31">
        <f t="shared" si="82"/>
        <v>0</v>
      </c>
      <c r="K455" s="33">
        <f t="shared" si="82"/>
        <v>0</v>
      </c>
      <c r="L455" s="31">
        <f t="shared" si="82"/>
        <v>0</v>
      </c>
      <c r="M455" s="31">
        <f t="shared" si="82"/>
        <v>511.8</v>
      </c>
      <c r="N455" s="31">
        <f t="shared" si="82"/>
        <v>2366123.5099999998</v>
      </c>
      <c r="O455" s="31">
        <f t="shared" si="82"/>
        <v>0</v>
      </c>
      <c r="P455" s="31">
        <f t="shared" si="82"/>
        <v>0</v>
      </c>
      <c r="Q455" s="31">
        <f t="shared" si="82"/>
        <v>0</v>
      </c>
      <c r="R455" s="31">
        <f t="shared" si="82"/>
        <v>0</v>
      </c>
      <c r="S455" s="31">
        <f t="shared" si="82"/>
        <v>0</v>
      </c>
      <c r="T455" s="31">
        <f t="shared" si="82"/>
        <v>0</v>
      </c>
      <c r="U455" s="31">
        <f t="shared" si="82"/>
        <v>0</v>
      </c>
      <c r="V455" s="31">
        <f t="shared" si="82"/>
        <v>0</v>
      </c>
      <c r="W455" s="31">
        <f t="shared" si="82"/>
        <v>0</v>
      </c>
      <c r="X455" s="31">
        <f t="shared" si="82"/>
        <v>0</v>
      </c>
      <c r="Y455" s="31">
        <f t="shared" si="82"/>
        <v>0</v>
      </c>
      <c r="Z455" s="31">
        <f t="shared" si="82"/>
        <v>0</v>
      </c>
      <c r="AA455" s="31">
        <f t="shared" si="82"/>
        <v>0</v>
      </c>
      <c r="AB455" s="31">
        <f t="shared" si="82"/>
        <v>0</v>
      </c>
      <c r="AC455" s="31">
        <f t="shared" si="82"/>
        <v>35491.85</v>
      </c>
      <c r="AD455" s="31">
        <f t="shared" si="82"/>
        <v>0</v>
      </c>
      <c r="AE455" s="31">
        <f t="shared" si="82"/>
        <v>120000</v>
      </c>
      <c r="AF455" s="72" t="s">
        <v>776</v>
      </c>
      <c r="AG455" s="72" t="s">
        <v>776</v>
      </c>
      <c r="AH455" s="89" t="s">
        <v>776</v>
      </c>
      <c r="BZ455" s="71">
        <v>2521615.3599999999</v>
      </c>
      <c r="CD455" s="20" t="e">
        <f t="shared" si="69"/>
        <v>#N/A</v>
      </c>
    </row>
    <row r="456" spans="1:82" ht="61.5" x14ac:dyDescent="0.85">
      <c r="A456" s="20">
        <v>1</v>
      </c>
      <c r="B456" s="66">
        <f>SUBTOTAL(103,$A$22:A456)</f>
        <v>394</v>
      </c>
      <c r="C456" s="24" t="s">
        <v>1283</v>
      </c>
      <c r="D456" s="31">
        <f>E456+F456+G456+H456+I456+J456+L456+N456+P456+R456+T456+U456+V456+W456+X456+Y456+Z456+AA456+AB456+AC456+AD456+AE456</f>
        <v>2521615.3599999999</v>
      </c>
      <c r="E456" s="31">
        <v>0</v>
      </c>
      <c r="F456" s="31">
        <v>0</v>
      </c>
      <c r="G456" s="31">
        <v>0</v>
      </c>
      <c r="H456" s="31">
        <v>0</v>
      </c>
      <c r="I456" s="31">
        <v>0</v>
      </c>
      <c r="J456" s="31">
        <v>0</v>
      </c>
      <c r="K456" s="33">
        <v>0</v>
      </c>
      <c r="L456" s="31">
        <v>0</v>
      </c>
      <c r="M456" s="31">
        <v>511.8</v>
      </c>
      <c r="N456" s="31">
        <f>2095100.24+271023.27</f>
        <v>2366123.5099999998</v>
      </c>
      <c r="O456" s="31">
        <v>0</v>
      </c>
      <c r="P456" s="31">
        <v>0</v>
      </c>
      <c r="Q456" s="31">
        <v>0</v>
      </c>
      <c r="R456" s="31">
        <v>0</v>
      </c>
      <c r="S456" s="31">
        <v>0</v>
      </c>
      <c r="T456" s="31">
        <v>0</v>
      </c>
      <c r="U456" s="31">
        <v>0</v>
      </c>
      <c r="V456" s="31">
        <v>0</v>
      </c>
      <c r="W456" s="31">
        <v>0</v>
      </c>
      <c r="X456" s="31">
        <v>0</v>
      </c>
      <c r="Y456" s="31">
        <v>0</v>
      </c>
      <c r="Z456" s="31">
        <v>0</v>
      </c>
      <c r="AA456" s="31">
        <v>0</v>
      </c>
      <c r="AB456" s="31">
        <v>0</v>
      </c>
      <c r="AC456" s="31">
        <f>ROUND(N456*1.5%,2)</f>
        <v>35491.85</v>
      </c>
      <c r="AD456" s="31">
        <v>0</v>
      </c>
      <c r="AE456" s="31">
        <v>120000</v>
      </c>
      <c r="AF456" s="34" t="s">
        <v>274</v>
      </c>
      <c r="AG456" s="34">
        <v>2020</v>
      </c>
      <c r="AH456" s="35">
        <v>2020</v>
      </c>
      <c r="BZ456" s="71"/>
      <c r="CD456" s="20">
        <f t="shared" si="69"/>
        <v>511.8</v>
      </c>
    </row>
    <row r="457" spans="1:82" ht="61.5" x14ac:dyDescent="0.85">
      <c r="B457" s="24" t="s">
        <v>909</v>
      </c>
      <c r="C457" s="24"/>
      <c r="D457" s="31">
        <f>D458</f>
        <v>3726576.42</v>
      </c>
      <c r="E457" s="31">
        <f t="shared" ref="E457:AE457" si="83">E458</f>
        <v>0</v>
      </c>
      <c r="F457" s="31">
        <f t="shared" si="83"/>
        <v>0</v>
      </c>
      <c r="G457" s="31">
        <f t="shared" si="83"/>
        <v>0</v>
      </c>
      <c r="H457" s="31">
        <f t="shared" si="83"/>
        <v>0</v>
      </c>
      <c r="I457" s="31">
        <f t="shared" si="83"/>
        <v>0</v>
      </c>
      <c r="J457" s="31">
        <f t="shared" si="83"/>
        <v>0</v>
      </c>
      <c r="K457" s="33">
        <f t="shared" si="83"/>
        <v>0</v>
      </c>
      <c r="L457" s="31">
        <f t="shared" si="83"/>
        <v>0</v>
      </c>
      <c r="M457" s="31">
        <f t="shared" si="83"/>
        <v>837.3</v>
      </c>
      <c r="N457" s="31">
        <f t="shared" si="83"/>
        <v>3709922.58</v>
      </c>
      <c r="O457" s="31">
        <f t="shared" si="83"/>
        <v>0</v>
      </c>
      <c r="P457" s="31">
        <f t="shared" si="83"/>
        <v>0</v>
      </c>
      <c r="Q457" s="31">
        <f t="shared" si="83"/>
        <v>0</v>
      </c>
      <c r="R457" s="31">
        <f t="shared" si="83"/>
        <v>0</v>
      </c>
      <c r="S457" s="31">
        <f t="shared" si="83"/>
        <v>0</v>
      </c>
      <c r="T457" s="31">
        <f t="shared" si="83"/>
        <v>0</v>
      </c>
      <c r="U457" s="31">
        <f t="shared" si="83"/>
        <v>0</v>
      </c>
      <c r="V457" s="31">
        <f t="shared" si="83"/>
        <v>0</v>
      </c>
      <c r="W457" s="31">
        <f t="shared" si="83"/>
        <v>0</v>
      </c>
      <c r="X457" s="31">
        <f t="shared" si="83"/>
        <v>0</v>
      </c>
      <c r="Y457" s="31">
        <f t="shared" si="83"/>
        <v>0</v>
      </c>
      <c r="Z457" s="31">
        <f t="shared" si="83"/>
        <v>0</v>
      </c>
      <c r="AA457" s="31">
        <f t="shared" si="83"/>
        <v>0</v>
      </c>
      <c r="AB457" s="31">
        <f t="shared" si="83"/>
        <v>0</v>
      </c>
      <c r="AC457" s="31">
        <f t="shared" si="83"/>
        <v>16653.84</v>
      </c>
      <c r="AD457" s="31">
        <f t="shared" si="83"/>
        <v>0</v>
      </c>
      <c r="AE457" s="31">
        <f t="shared" si="83"/>
        <v>0</v>
      </c>
      <c r="AF457" s="72" t="s">
        <v>776</v>
      </c>
      <c r="AG457" s="72" t="s">
        <v>776</v>
      </c>
      <c r="AH457" s="89" t="s">
        <v>776</v>
      </c>
      <c r="AT457" s="20" t="e">
        <f>VLOOKUP(C457,AW:AX,2,FALSE)</f>
        <v>#N/A</v>
      </c>
      <c r="BZ457" s="71">
        <v>3726576.42</v>
      </c>
      <c r="CD457" s="20" t="e">
        <f t="shared" si="69"/>
        <v>#N/A</v>
      </c>
    </row>
    <row r="458" spans="1:82" ht="61.5" x14ac:dyDescent="0.85">
      <c r="A458" s="20">
        <v>1</v>
      </c>
      <c r="B458" s="66">
        <f>SUBTOTAL(103,$A$22:A458)</f>
        <v>395</v>
      </c>
      <c r="C458" s="24" t="s">
        <v>1603</v>
      </c>
      <c r="D458" s="31">
        <f>E458+F458+G458+H458+I458+J458+L458+N458+P458+R458+T458+U458+V458+W458+X458+Y458+Z458+AA458+AB458+AC458+AD458+AE458</f>
        <v>3726576.42</v>
      </c>
      <c r="E458" s="31">
        <v>0</v>
      </c>
      <c r="F458" s="31">
        <v>0</v>
      </c>
      <c r="G458" s="31">
        <v>0</v>
      </c>
      <c r="H458" s="31">
        <v>0</v>
      </c>
      <c r="I458" s="31">
        <v>0</v>
      </c>
      <c r="J458" s="31">
        <v>0</v>
      </c>
      <c r="K458" s="33">
        <v>0</v>
      </c>
      <c r="L458" s="31">
        <v>0</v>
      </c>
      <c r="M458" s="31">
        <v>837.3</v>
      </c>
      <c r="N458" s="31">
        <v>3709922.58</v>
      </c>
      <c r="O458" s="31">
        <v>0</v>
      </c>
      <c r="P458" s="31">
        <v>0</v>
      </c>
      <c r="Q458" s="31">
        <v>0</v>
      </c>
      <c r="R458" s="31">
        <v>0</v>
      </c>
      <c r="S458" s="31">
        <v>0</v>
      </c>
      <c r="T458" s="31">
        <v>0</v>
      </c>
      <c r="U458" s="31">
        <v>0</v>
      </c>
      <c r="V458" s="31">
        <v>0</v>
      </c>
      <c r="W458" s="31">
        <v>0</v>
      </c>
      <c r="X458" s="31">
        <v>0</v>
      </c>
      <c r="Y458" s="31">
        <v>0</v>
      </c>
      <c r="Z458" s="31">
        <v>0</v>
      </c>
      <c r="AA458" s="31">
        <v>0</v>
      </c>
      <c r="AB458" s="31">
        <v>0</v>
      </c>
      <c r="AC458" s="31">
        <v>16653.84</v>
      </c>
      <c r="AD458" s="31">
        <v>0</v>
      </c>
      <c r="AE458" s="31">
        <v>0</v>
      </c>
      <c r="AF458" s="34" t="s">
        <v>274</v>
      </c>
      <c r="AG458" s="34">
        <v>2020</v>
      </c>
      <c r="AH458" s="35">
        <v>2020</v>
      </c>
      <c r="BZ458" s="71"/>
      <c r="CD458" s="20">
        <f t="shared" si="69"/>
        <v>837.3</v>
      </c>
    </row>
    <row r="459" spans="1:82" ht="61.5" x14ac:dyDescent="0.85">
      <c r="B459" s="24" t="s">
        <v>872</v>
      </c>
      <c r="C459" s="166"/>
      <c r="D459" s="31">
        <f>D460</f>
        <v>5198352.66</v>
      </c>
      <c r="E459" s="31">
        <f t="shared" ref="E459:AE459" si="84">E460</f>
        <v>0</v>
      </c>
      <c r="F459" s="31">
        <f t="shared" si="84"/>
        <v>0</v>
      </c>
      <c r="G459" s="31">
        <f t="shared" si="84"/>
        <v>0</v>
      </c>
      <c r="H459" s="31">
        <f t="shared" si="84"/>
        <v>0</v>
      </c>
      <c r="I459" s="31">
        <f t="shared" si="84"/>
        <v>0</v>
      </c>
      <c r="J459" s="31">
        <f t="shared" si="84"/>
        <v>0</v>
      </c>
      <c r="K459" s="33">
        <f t="shared" si="84"/>
        <v>0</v>
      </c>
      <c r="L459" s="31">
        <f t="shared" si="84"/>
        <v>0</v>
      </c>
      <c r="M459" s="31">
        <f t="shared" si="84"/>
        <v>806.38</v>
      </c>
      <c r="N459" s="31">
        <f t="shared" si="84"/>
        <v>5059349.3</v>
      </c>
      <c r="O459" s="31">
        <f t="shared" si="84"/>
        <v>0</v>
      </c>
      <c r="P459" s="31">
        <f t="shared" si="84"/>
        <v>0</v>
      </c>
      <c r="Q459" s="31">
        <f t="shared" si="84"/>
        <v>0</v>
      </c>
      <c r="R459" s="31">
        <f t="shared" si="84"/>
        <v>0</v>
      </c>
      <c r="S459" s="31">
        <f t="shared" si="84"/>
        <v>0</v>
      </c>
      <c r="T459" s="31">
        <f t="shared" si="84"/>
        <v>0</v>
      </c>
      <c r="U459" s="31">
        <f t="shared" si="84"/>
        <v>0</v>
      </c>
      <c r="V459" s="31">
        <f t="shared" si="84"/>
        <v>0</v>
      </c>
      <c r="W459" s="31">
        <f t="shared" si="84"/>
        <v>0</v>
      </c>
      <c r="X459" s="31">
        <f t="shared" si="84"/>
        <v>0</v>
      </c>
      <c r="Y459" s="31">
        <f t="shared" si="84"/>
        <v>0</v>
      </c>
      <c r="Z459" s="31">
        <f t="shared" si="84"/>
        <v>0</v>
      </c>
      <c r="AA459" s="31">
        <f t="shared" si="84"/>
        <v>0</v>
      </c>
      <c r="AB459" s="31">
        <f t="shared" si="84"/>
        <v>0</v>
      </c>
      <c r="AC459" s="31">
        <f t="shared" si="84"/>
        <v>75890.240000000005</v>
      </c>
      <c r="AD459" s="31">
        <f t="shared" si="84"/>
        <v>63113.120000000003</v>
      </c>
      <c r="AE459" s="31">
        <f t="shared" si="84"/>
        <v>0</v>
      </c>
      <c r="AF459" s="72" t="s">
        <v>776</v>
      </c>
      <c r="AG459" s="72" t="s">
        <v>776</v>
      </c>
      <c r="AH459" s="89" t="s">
        <v>776</v>
      </c>
      <c r="AT459" s="20" t="e">
        <f>VLOOKUP(C459,AW:AX,2,FALSE)</f>
        <v>#N/A</v>
      </c>
      <c r="BZ459" s="71">
        <v>5198352.66</v>
      </c>
      <c r="CD459" s="20" t="e">
        <f t="shared" si="69"/>
        <v>#N/A</v>
      </c>
    </row>
    <row r="460" spans="1:82" ht="61.5" x14ac:dyDescent="0.85">
      <c r="A460" s="20">
        <v>1</v>
      </c>
      <c r="B460" s="66">
        <f>SUBTOTAL(103,$A$22:A460)</f>
        <v>396</v>
      </c>
      <c r="C460" s="24" t="s">
        <v>232</v>
      </c>
      <c r="D460" s="31">
        <f>E460+F460+G460+H460+I460+J460+L460+N460+P460+R460+T460+U460+V460+W460+X460+Y460+Z460+AA460+AB460+AC460+AD460+AE460</f>
        <v>5198352.66</v>
      </c>
      <c r="E460" s="31">
        <v>0</v>
      </c>
      <c r="F460" s="31">
        <v>0</v>
      </c>
      <c r="G460" s="31">
        <v>0</v>
      </c>
      <c r="H460" s="31">
        <v>0</v>
      </c>
      <c r="I460" s="31">
        <v>0</v>
      </c>
      <c r="J460" s="31">
        <v>0</v>
      </c>
      <c r="K460" s="33">
        <v>0</v>
      </c>
      <c r="L460" s="31">
        <v>0</v>
      </c>
      <c r="M460" s="31">
        <v>806.38</v>
      </c>
      <c r="N460" s="31">
        <f>4225152.71+1025133.93-190937.34</f>
        <v>5059349.3</v>
      </c>
      <c r="O460" s="31">
        <v>0</v>
      </c>
      <c r="P460" s="31">
        <v>0</v>
      </c>
      <c r="Q460" s="31">
        <v>0</v>
      </c>
      <c r="R460" s="31">
        <v>0</v>
      </c>
      <c r="S460" s="31">
        <v>0</v>
      </c>
      <c r="T460" s="31">
        <v>0</v>
      </c>
      <c r="U460" s="31">
        <v>0</v>
      </c>
      <c r="V460" s="31">
        <v>0</v>
      </c>
      <c r="W460" s="31">
        <v>0</v>
      </c>
      <c r="X460" s="31">
        <v>0</v>
      </c>
      <c r="Y460" s="31">
        <v>0</v>
      </c>
      <c r="Z460" s="31">
        <v>0</v>
      </c>
      <c r="AA460" s="31">
        <v>0</v>
      </c>
      <c r="AB460" s="31">
        <v>0</v>
      </c>
      <c r="AC460" s="31">
        <f>ROUND(N460*1.5%,2)</f>
        <v>75890.240000000005</v>
      </c>
      <c r="AD460" s="31">
        <v>63113.120000000003</v>
      </c>
      <c r="AE460" s="31">
        <v>0</v>
      </c>
      <c r="AF460" s="34">
        <v>2020</v>
      </c>
      <c r="AG460" s="34">
        <v>2020</v>
      </c>
      <c r="AH460" s="35">
        <v>2020</v>
      </c>
      <c r="AT460" s="20" t="e">
        <f>VLOOKUP(C460,AW:AX,2,FALSE)</f>
        <v>#N/A</v>
      </c>
      <c r="BZ460" s="71"/>
      <c r="CD460" s="20">
        <f t="shared" si="69"/>
        <v>806.38</v>
      </c>
    </row>
    <row r="461" spans="1:82" ht="61.5" x14ac:dyDescent="0.85">
      <c r="B461" s="24" t="s">
        <v>873</v>
      </c>
      <c r="C461" s="24"/>
      <c r="D461" s="31">
        <f t="shared" ref="D461:AE461" si="85">D462</f>
        <v>1821119.2799999998</v>
      </c>
      <c r="E461" s="31">
        <f t="shared" si="85"/>
        <v>0</v>
      </c>
      <c r="F461" s="31">
        <f t="shared" si="85"/>
        <v>0</v>
      </c>
      <c r="G461" s="31">
        <f t="shared" si="85"/>
        <v>0</v>
      </c>
      <c r="H461" s="31">
        <f t="shared" si="85"/>
        <v>0</v>
      </c>
      <c r="I461" s="31">
        <f t="shared" si="85"/>
        <v>0</v>
      </c>
      <c r="J461" s="31">
        <f t="shared" si="85"/>
        <v>0</v>
      </c>
      <c r="K461" s="33">
        <f t="shared" si="85"/>
        <v>0</v>
      </c>
      <c r="L461" s="31">
        <f t="shared" si="85"/>
        <v>0</v>
      </c>
      <c r="M461" s="31">
        <f t="shared" si="85"/>
        <v>308.60000000000002</v>
      </c>
      <c r="N461" s="31">
        <f t="shared" si="85"/>
        <v>1755495.67</v>
      </c>
      <c r="O461" s="31">
        <f t="shared" si="85"/>
        <v>0</v>
      </c>
      <c r="P461" s="31">
        <f t="shared" si="85"/>
        <v>0</v>
      </c>
      <c r="Q461" s="31">
        <f t="shared" si="85"/>
        <v>0</v>
      </c>
      <c r="R461" s="31">
        <f t="shared" si="85"/>
        <v>0</v>
      </c>
      <c r="S461" s="31">
        <f t="shared" si="85"/>
        <v>0</v>
      </c>
      <c r="T461" s="31">
        <f t="shared" si="85"/>
        <v>0</v>
      </c>
      <c r="U461" s="31">
        <f t="shared" si="85"/>
        <v>0</v>
      </c>
      <c r="V461" s="31">
        <f t="shared" si="85"/>
        <v>0</v>
      </c>
      <c r="W461" s="31">
        <f t="shared" si="85"/>
        <v>0</v>
      </c>
      <c r="X461" s="31">
        <f t="shared" si="85"/>
        <v>0</v>
      </c>
      <c r="Y461" s="31">
        <f t="shared" si="85"/>
        <v>0</v>
      </c>
      <c r="Z461" s="31">
        <f t="shared" si="85"/>
        <v>0</v>
      </c>
      <c r="AA461" s="31">
        <f t="shared" si="85"/>
        <v>0</v>
      </c>
      <c r="AB461" s="31">
        <f t="shared" si="85"/>
        <v>0</v>
      </c>
      <c r="AC461" s="31">
        <f t="shared" si="85"/>
        <v>26332.44</v>
      </c>
      <c r="AD461" s="31">
        <f t="shared" si="85"/>
        <v>39291.17</v>
      </c>
      <c r="AE461" s="31">
        <f t="shared" si="85"/>
        <v>0</v>
      </c>
      <c r="AF461" s="72" t="s">
        <v>776</v>
      </c>
      <c r="AG461" s="72" t="s">
        <v>776</v>
      </c>
      <c r="AH461" s="89" t="s">
        <v>776</v>
      </c>
      <c r="AT461" s="20" t="e">
        <f>VLOOKUP(C461,AW:AX,2,FALSE)</f>
        <v>#N/A</v>
      </c>
      <c r="BZ461" s="71">
        <v>1821119.2799999998</v>
      </c>
      <c r="CD461" s="20" t="e">
        <f t="shared" si="69"/>
        <v>#N/A</v>
      </c>
    </row>
    <row r="462" spans="1:82" ht="61.5" x14ac:dyDescent="0.85">
      <c r="A462" s="20">
        <v>1</v>
      </c>
      <c r="B462" s="66">
        <f>SUBTOTAL(103,$A$22:A462)</f>
        <v>397</v>
      </c>
      <c r="C462" s="24" t="s">
        <v>235</v>
      </c>
      <c r="D462" s="31">
        <f>E462+F462+G462+H462+I462+J462+L462+N462+P462+R462+T462+U462+V462+W462+X462+Y462+Z462+AA462+AB462+AC462+AD462+AE462</f>
        <v>1821119.2799999998</v>
      </c>
      <c r="E462" s="31">
        <v>0</v>
      </c>
      <c r="F462" s="31">
        <v>0</v>
      </c>
      <c r="G462" s="31">
        <v>0</v>
      </c>
      <c r="H462" s="31">
        <v>0</v>
      </c>
      <c r="I462" s="31">
        <v>0</v>
      </c>
      <c r="J462" s="31">
        <v>0</v>
      </c>
      <c r="K462" s="33">
        <v>0</v>
      </c>
      <c r="L462" s="31">
        <v>0</v>
      </c>
      <c r="M462" s="31">
        <v>308.60000000000002</v>
      </c>
      <c r="N462" s="31">
        <v>1755495.67</v>
      </c>
      <c r="O462" s="31">
        <v>0</v>
      </c>
      <c r="P462" s="31">
        <v>0</v>
      </c>
      <c r="Q462" s="31">
        <v>0</v>
      </c>
      <c r="R462" s="31">
        <v>0</v>
      </c>
      <c r="S462" s="31">
        <v>0</v>
      </c>
      <c r="T462" s="31">
        <v>0</v>
      </c>
      <c r="U462" s="31">
        <v>0</v>
      </c>
      <c r="V462" s="31">
        <v>0</v>
      </c>
      <c r="W462" s="31">
        <v>0</v>
      </c>
      <c r="X462" s="31">
        <v>0</v>
      </c>
      <c r="Y462" s="31">
        <v>0</v>
      </c>
      <c r="Z462" s="31">
        <v>0</v>
      </c>
      <c r="AA462" s="31">
        <v>0</v>
      </c>
      <c r="AB462" s="31">
        <v>0</v>
      </c>
      <c r="AC462" s="31">
        <f>ROUND(N462*1.5%,2)</f>
        <v>26332.44</v>
      </c>
      <c r="AD462" s="31">
        <v>39291.17</v>
      </c>
      <c r="AE462" s="31">
        <v>0</v>
      </c>
      <c r="AF462" s="34">
        <v>2020</v>
      </c>
      <c r="AG462" s="34">
        <v>2020</v>
      </c>
      <c r="AH462" s="35">
        <v>2020</v>
      </c>
      <c r="AT462" s="20" t="e">
        <f>VLOOKUP(C462,AW:AX,2,FALSE)</f>
        <v>#N/A</v>
      </c>
      <c r="BZ462" s="71"/>
      <c r="CD462" s="20">
        <f t="shared" si="69"/>
        <v>308.60000000000002</v>
      </c>
    </row>
    <row r="463" spans="1:82" ht="61.5" x14ac:dyDescent="0.85">
      <c r="B463" s="24" t="s">
        <v>1321</v>
      </c>
      <c r="C463" s="24"/>
      <c r="D463" s="31">
        <f>D464</f>
        <v>4609049.76</v>
      </c>
      <c r="E463" s="31">
        <f t="shared" ref="E463:AE463" si="86">E464</f>
        <v>0</v>
      </c>
      <c r="F463" s="31">
        <f t="shared" si="86"/>
        <v>0</v>
      </c>
      <c r="G463" s="31">
        <f t="shared" si="86"/>
        <v>0</v>
      </c>
      <c r="H463" s="31">
        <f t="shared" si="86"/>
        <v>0</v>
      </c>
      <c r="I463" s="31">
        <f t="shared" si="86"/>
        <v>0</v>
      </c>
      <c r="J463" s="31">
        <f t="shared" si="86"/>
        <v>0</v>
      </c>
      <c r="K463" s="33">
        <f t="shared" si="86"/>
        <v>0</v>
      </c>
      <c r="L463" s="31">
        <f t="shared" si="86"/>
        <v>0</v>
      </c>
      <c r="M463" s="31">
        <f t="shared" si="86"/>
        <v>735</v>
      </c>
      <c r="N463" s="31">
        <f t="shared" si="86"/>
        <v>4393152.47</v>
      </c>
      <c r="O463" s="31">
        <f t="shared" si="86"/>
        <v>0</v>
      </c>
      <c r="P463" s="31">
        <f t="shared" si="86"/>
        <v>0</v>
      </c>
      <c r="Q463" s="31">
        <f t="shared" si="86"/>
        <v>0</v>
      </c>
      <c r="R463" s="31">
        <f t="shared" si="86"/>
        <v>0</v>
      </c>
      <c r="S463" s="31">
        <f t="shared" si="86"/>
        <v>0</v>
      </c>
      <c r="T463" s="31">
        <f t="shared" si="86"/>
        <v>0</v>
      </c>
      <c r="U463" s="31">
        <f t="shared" si="86"/>
        <v>0</v>
      </c>
      <c r="V463" s="31">
        <f t="shared" si="86"/>
        <v>0</v>
      </c>
      <c r="W463" s="31">
        <f t="shared" si="86"/>
        <v>0</v>
      </c>
      <c r="X463" s="31">
        <f t="shared" si="86"/>
        <v>0</v>
      </c>
      <c r="Y463" s="31">
        <f t="shared" si="86"/>
        <v>0</v>
      </c>
      <c r="Z463" s="31">
        <f t="shared" si="86"/>
        <v>0</v>
      </c>
      <c r="AA463" s="31">
        <f t="shared" si="86"/>
        <v>0</v>
      </c>
      <c r="AB463" s="31">
        <f t="shared" si="86"/>
        <v>0</v>
      </c>
      <c r="AC463" s="31">
        <f t="shared" si="86"/>
        <v>65897.289999999994</v>
      </c>
      <c r="AD463" s="31">
        <f t="shared" si="86"/>
        <v>150000</v>
      </c>
      <c r="AE463" s="31">
        <f t="shared" si="86"/>
        <v>0</v>
      </c>
      <c r="AF463" s="72" t="s">
        <v>776</v>
      </c>
      <c r="AG463" s="72" t="s">
        <v>776</v>
      </c>
      <c r="AH463" s="89" t="s">
        <v>776</v>
      </c>
      <c r="BZ463" s="71">
        <v>4609049.76</v>
      </c>
      <c r="CD463" s="20" t="e">
        <f t="shared" si="69"/>
        <v>#N/A</v>
      </c>
    </row>
    <row r="464" spans="1:82" ht="61.5" x14ac:dyDescent="0.85">
      <c r="A464" s="20">
        <v>1</v>
      </c>
      <c r="B464" s="66">
        <f>SUBTOTAL(103,$A$22:A464)</f>
        <v>398</v>
      </c>
      <c r="C464" s="24" t="s">
        <v>1322</v>
      </c>
      <c r="D464" s="31">
        <f>E464+F464+G464+H464+I464+J464+L464+N464+P464+R464+T464+U464+V464+W464+X464+Y464+Z464+AA464+AB464+AC464+AD464+AE464</f>
        <v>4609049.76</v>
      </c>
      <c r="E464" s="31">
        <v>0</v>
      </c>
      <c r="F464" s="31">
        <v>0</v>
      </c>
      <c r="G464" s="31">
        <v>0</v>
      </c>
      <c r="H464" s="31">
        <v>0</v>
      </c>
      <c r="I464" s="31">
        <v>0</v>
      </c>
      <c r="J464" s="31">
        <v>0</v>
      </c>
      <c r="K464" s="33">
        <v>0</v>
      </c>
      <c r="L464" s="31">
        <v>0</v>
      </c>
      <c r="M464" s="31">
        <v>735</v>
      </c>
      <c r="N464" s="31">
        <f>4393152.47</f>
        <v>4393152.47</v>
      </c>
      <c r="O464" s="31">
        <v>0</v>
      </c>
      <c r="P464" s="31">
        <v>0</v>
      </c>
      <c r="Q464" s="31">
        <v>0</v>
      </c>
      <c r="R464" s="31">
        <v>0</v>
      </c>
      <c r="S464" s="31">
        <v>0</v>
      </c>
      <c r="T464" s="31">
        <v>0</v>
      </c>
      <c r="U464" s="31">
        <v>0</v>
      </c>
      <c r="V464" s="31">
        <v>0</v>
      </c>
      <c r="W464" s="31">
        <v>0</v>
      </c>
      <c r="X464" s="31">
        <v>0</v>
      </c>
      <c r="Y464" s="31">
        <v>0</v>
      </c>
      <c r="Z464" s="31">
        <v>0</v>
      </c>
      <c r="AA464" s="31">
        <v>0</v>
      </c>
      <c r="AB464" s="31">
        <v>0</v>
      </c>
      <c r="AC464" s="31">
        <f>ROUND(N464*1.5%,2)</f>
        <v>65897.289999999994</v>
      </c>
      <c r="AD464" s="31">
        <v>150000</v>
      </c>
      <c r="AE464" s="31">
        <v>0</v>
      </c>
      <c r="AF464" s="34">
        <v>2020</v>
      </c>
      <c r="AG464" s="34">
        <v>2020</v>
      </c>
      <c r="AH464" s="35">
        <v>2020</v>
      </c>
      <c r="BZ464" s="71"/>
      <c r="CD464" s="20">
        <f t="shared" si="69"/>
        <v>735</v>
      </c>
    </row>
    <row r="465" spans="1:82" ht="61.5" x14ac:dyDescent="0.85">
      <c r="B465" s="24" t="s">
        <v>874</v>
      </c>
      <c r="C465" s="166"/>
      <c r="D465" s="31">
        <f t="shared" ref="D465:AE465" si="87">D466</f>
        <v>5368567.4000000004</v>
      </c>
      <c r="E465" s="31">
        <f t="shared" si="87"/>
        <v>0</v>
      </c>
      <c r="F465" s="31">
        <f t="shared" si="87"/>
        <v>0</v>
      </c>
      <c r="G465" s="31">
        <f t="shared" si="87"/>
        <v>0</v>
      </c>
      <c r="H465" s="31">
        <f t="shared" si="87"/>
        <v>0</v>
      </c>
      <c r="I465" s="31">
        <f t="shared" si="87"/>
        <v>0</v>
      </c>
      <c r="J465" s="31">
        <f t="shared" si="87"/>
        <v>0</v>
      </c>
      <c r="K465" s="33">
        <f t="shared" si="87"/>
        <v>0</v>
      </c>
      <c r="L465" s="31">
        <f t="shared" si="87"/>
        <v>0</v>
      </c>
      <c r="M465" s="31">
        <f t="shared" si="87"/>
        <v>980</v>
      </c>
      <c r="N465" s="31">
        <f t="shared" si="87"/>
        <v>5141445.71</v>
      </c>
      <c r="O465" s="31">
        <f t="shared" si="87"/>
        <v>0</v>
      </c>
      <c r="P465" s="31">
        <f t="shared" si="87"/>
        <v>0</v>
      </c>
      <c r="Q465" s="31">
        <f t="shared" si="87"/>
        <v>0</v>
      </c>
      <c r="R465" s="31">
        <f t="shared" si="87"/>
        <v>0</v>
      </c>
      <c r="S465" s="31">
        <f t="shared" si="87"/>
        <v>0</v>
      </c>
      <c r="T465" s="31">
        <f t="shared" si="87"/>
        <v>0</v>
      </c>
      <c r="U465" s="31">
        <f t="shared" si="87"/>
        <v>0</v>
      </c>
      <c r="V465" s="31">
        <f t="shared" si="87"/>
        <v>0</v>
      </c>
      <c r="W465" s="31">
        <f t="shared" si="87"/>
        <v>0</v>
      </c>
      <c r="X465" s="31">
        <f t="shared" si="87"/>
        <v>0</v>
      </c>
      <c r="Y465" s="31">
        <f t="shared" si="87"/>
        <v>0</v>
      </c>
      <c r="Z465" s="31">
        <f t="shared" si="87"/>
        <v>0</v>
      </c>
      <c r="AA465" s="31">
        <f t="shared" si="87"/>
        <v>0</v>
      </c>
      <c r="AB465" s="31">
        <f t="shared" si="87"/>
        <v>0</v>
      </c>
      <c r="AC465" s="31">
        <f t="shared" si="87"/>
        <v>77121.69</v>
      </c>
      <c r="AD465" s="31">
        <f t="shared" si="87"/>
        <v>150000</v>
      </c>
      <c r="AE465" s="31">
        <f t="shared" si="87"/>
        <v>0</v>
      </c>
      <c r="AF465" s="72" t="s">
        <v>776</v>
      </c>
      <c r="AG465" s="72" t="s">
        <v>776</v>
      </c>
      <c r="AH465" s="89" t="s">
        <v>776</v>
      </c>
      <c r="AT465" s="20" t="e">
        <f t="shared" ref="AT465:AT471" si="88">VLOOKUP(C465,AW:AX,2,FALSE)</f>
        <v>#N/A</v>
      </c>
      <c r="BZ465" s="71">
        <v>5368567.4000000004</v>
      </c>
      <c r="CD465" s="20" t="e">
        <f t="shared" si="69"/>
        <v>#N/A</v>
      </c>
    </row>
    <row r="466" spans="1:82" ht="61.5" x14ac:dyDescent="0.85">
      <c r="A466" s="20">
        <v>1</v>
      </c>
      <c r="B466" s="66">
        <f>SUBTOTAL(103,$A$22:A466)</f>
        <v>399</v>
      </c>
      <c r="C466" s="24" t="s">
        <v>141</v>
      </c>
      <c r="D466" s="31">
        <f>E466+F466+G466+H466+I466+J466+L466+N466+P466+R466+T466+U466+V466+W466+X466+Y466+Z466+AA466+AB466+AC466+AD466+AE466</f>
        <v>5368567.4000000004</v>
      </c>
      <c r="E466" s="31">
        <v>0</v>
      </c>
      <c r="F466" s="31">
        <v>0</v>
      </c>
      <c r="G466" s="31">
        <v>0</v>
      </c>
      <c r="H466" s="31">
        <v>0</v>
      </c>
      <c r="I466" s="31">
        <v>0</v>
      </c>
      <c r="J466" s="31">
        <v>0</v>
      </c>
      <c r="K466" s="33">
        <v>0</v>
      </c>
      <c r="L466" s="31">
        <v>0</v>
      </c>
      <c r="M466" s="31">
        <v>980</v>
      </c>
      <c r="N466" s="31">
        <v>5141445.71</v>
      </c>
      <c r="O466" s="31">
        <v>0</v>
      </c>
      <c r="P466" s="31">
        <v>0</v>
      </c>
      <c r="Q466" s="31">
        <v>0</v>
      </c>
      <c r="R466" s="31">
        <v>0</v>
      </c>
      <c r="S466" s="31">
        <v>0</v>
      </c>
      <c r="T466" s="31">
        <v>0</v>
      </c>
      <c r="U466" s="31">
        <v>0</v>
      </c>
      <c r="V466" s="31">
        <v>0</v>
      </c>
      <c r="W466" s="31">
        <v>0</v>
      </c>
      <c r="X466" s="31">
        <v>0</v>
      </c>
      <c r="Y466" s="31">
        <v>0</v>
      </c>
      <c r="Z466" s="31">
        <v>0</v>
      </c>
      <c r="AA466" s="31">
        <v>0</v>
      </c>
      <c r="AB466" s="31">
        <v>0</v>
      </c>
      <c r="AC466" s="31">
        <f>ROUND(N466*1.5%,2)</f>
        <v>77121.69</v>
      </c>
      <c r="AD466" s="31">
        <f>155511.19-5511.19</f>
        <v>150000</v>
      </c>
      <c r="AE466" s="31">
        <v>0</v>
      </c>
      <c r="AF466" s="34">
        <v>2020</v>
      </c>
      <c r="AG466" s="34">
        <v>2020</v>
      </c>
      <c r="AH466" s="35">
        <v>2020</v>
      </c>
      <c r="AT466" s="20" t="e">
        <f t="shared" si="88"/>
        <v>#N/A</v>
      </c>
      <c r="BZ466" s="71"/>
      <c r="CD466" s="20" t="e">
        <f t="shared" si="69"/>
        <v>#N/A</v>
      </c>
    </row>
    <row r="467" spans="1:82" ht="61.5" x14ac:dyDescent="0.85">
      <c r="B467" s="24" t="s">
        <v>875</v>
      </c>
      <c r="C467" s="24"/>
      <c r="D467" s="31">
        <f t="shared" ref="D467:AE467" si="89">D468</f>
        <v>2682382.0500000003</v>
      </c>
      <c r="E467" s="31">
        <f t="shared" si="89"/>
        <v>0</v>
      </c>
      <c r="F467" s="31">
        <f t="shared" si="89"/>
        <v>0</v>
      </c>
      <c r="G467" s="31">
        <f t="shared" si="89"/>
        <v>0</v>
      </c>
      <c r="H467" s="31">
        <f t="shared" si="89"/>
        <v>0</v>
      </c>
      <c r="I467" s="31">
        <f t="shared" si="89"/>
        <v>0</v>
      </c>
      <c r="J467" s="31">
        <f t="shared" si="89"/>
        <v>0</v>
      </c>
      <c r="K467" s="33">
        <f t="shared" si="89"/>
        <v>0</v>
      </c>
      <c r="L467" s="31">
        <f t="shared" si="89"/>
        <v>0</v>
      </c>
      <c r="M467" s="31">
        <f t="shared" si="89"/>
        <v>629.09712090000005</v>
      </c>
      <c r="N467" s="31">
        <f t="shared" si="89"/>
        <v>2494957.6800000002</v>
      </c>
      <c r="O467" s="31">
        <f t="shared" si="89"/>
        <v>0</v>
      </c>
      <c r="P467" s="31">
        <f t="shared" si="89"/>
        <v>0</v>
      </c>
      <c r="Q467" s="31">
        <f t="shared" si="89"/>
        <v>0</v>
      </c>
      <c r="R467" s="31">
        <f t="shared" si="89"/>
        <v>0</v>
      </c>
      <c r="S467" s="31">
        <f t="shared" si="89"/>
        <v>0</v>
      </c>
      <c r="T467" s="31">
        <f t="shared" si="89"/>
        <v>0</v>
      </c>
      <c r="U467" s="31">
        <f t="shared" si="89"/>
        <v>0</v>
      </c>
      <c r="V467" s="31">
        <f t="shared" si="89"/>
        <v>0</v>
      </c>
      <c r="W467" s="31">
        <f t="shared" si="89"/>
        <v>0</v>
      </c>
      <c r="X467" s="31">
        <f t="shared" si="89"/>
        <v>0</v>
      </c>
      <c r="Y467" s="31">
        <f t="shared" si="89"/>
        <v>0</v>
      </c>
      <c r="Z467" s="31">
        <f t="shared" si="89"/>
        <v>0</v>
      </c>
      <c r="AA467" s="31">
        <f t="shared" si="89"/>
        <v>0</v>
      </c>
      <c r="AB467" s="31">
        <f t="shared" si="89"/>
        <v>0</v>
      </c>
      <c r="AC467" s="31">
        <f t="shared" si="89"/>
        <v>37424.370000000003</v>
      </c>
      <c r="AD467" s="31">
        <f t="shared" si="89"/>
        <v>150000</v>
      </c>
      <c r="AE467" s="31">
        <f t="shared" si="89"/>
        <v>0</v>
      </c>
      <c r="AF467" s="72" t="s">
        <v>776</v>
      </c>
      <c r="AG467" s="72" t="s">
        <v>776</v>
      </c>
      <c r="AH467" s="89" t="s">
        <v>776</v>
      </c>
      <c r="AT467" s="20" t="e">
        <f t="shared" si="88"/>
        <v>#N/A</v>
      </c>
      <c r="BZ467" s="71">
        <v>2682382.0500000003</v>
      </c>
      <c r="CD467" s="20" t="e">
        <f t="shared" si="69"/>
        <v>#N/A</v>
      </c>
    </row>
    <row r="468" spans="1:82" ht="61.5" x14ac:dyDescent="0.85">
      <c r="A468" s="20">
        <v>1</v>
      </c>
      <c r="B468" s="66">
        <f>SUBTOTAL(103,$A$22:A468)</f>
        <v>400</v>
      </c>
      <c r="C468" s="24" t="s">
        <v>146</v>
      </c>
      <c r="D468" s="31">
        <f>E468+F468+G468+H468+I468+J468+L468+N468+P468+R468+T468+U468+V468+W468+X468+Y468+Z468+AA468+AB468+AC468+AD468+AE468</f>
        <v>2682382.0500000003</v>
      </c>
      <c r="E468" s="31">
        <v>0</v>
      </c>
      <c r="F468" s="31">
        <v>0</v>
      </c>
      <c r="G468" s="31">
        <v>0</v>
      </c>
      <c r="H468" s="31">
        <v>0</v>
      </c>
      <c r="I468" s="31">
        <v>0</v>
      </c>
      <c r="J468" s="31">
        <v>0</v>
      </c>
      <c r="K468" s="33">
        <v>0</v>
      </c>
      <c r="L468" s="31">
        <v>0</v>
      </c>
      <c r="M468" s="31">
        <v>629.09712090000005</v>
      </c>
      <c r="N468" s="31">
        <v>2494957.6800000002</v>
      </c>
      <c r="O468" s="31">
        <v>0</v>
      </c>
      <c r="P468" s="31">
        <v>0</v>
      </c>
      <c r="Q468" s="31">
        <v>0</v>
      </c>
      <c r="R468" s="31">
        <v>0</v>
      </c>
      <c r="S468" s="31">
        <v>0</v>
      </c>
      <c r="T468" s="31">
        <v>0</v>
      </c>
      <c r="U468" s="31">
        <v>0</v>
      </c>
      <c r="V468" s="31">
        <v>0</v>
      </c>
      <c r="W468" s="31">
        <v>0</v>
      </c>
      <c r="X468" s="31">
        <v>0</v>
      </c>
      <c r="Y468" s="31">
        <v>0</v>
      </c>
      <c r="Z468" s="31">
        <v>0</v>
      </c>
      <c r="AA468" s="31">
        <v>0</v>
      </c>
      <c r="AB468" s="31">
        <v>0</v>
      </c>
      <c r="AC468" s="31">
        <f>ROUND(N468*1.5%,2)</f>
        <v>37424.370000000003</v>
      </c>
      <c r="AD468" s="31">
        <v>150000</v>
      </c>
      <c r="AE468" s="31">
        <v>0</v>
      </c>
      <c r="AF468" s="34">
        <v>2020</v>
      </c>
      <c r="AG468" s="34">
        <v>2020</v>
      </c>
      <c r="AH468" s="35">
        <v>2020</v>
      </c>
      <c r="AT468" s="20" t="e">
        <f t="shared" si="88"/>
        <v>#N/A</v>
      </c>
      <c r="BZ468" s="71"/>
      <c r="CD468" s="20" t="e">
        <f t="shared" si="69"/>
        <v>#N/A</v>
      </c>
    </row>
    <row r="469" spans="1:82" ht="61.5" x14ac:dyDescent="0.85">
      <c r="B469" s="24" t="s">
        <v>876</v>
      </c>
      <c r="C469" s="24"/>
      <c r="D469" s="31">
        <f t="shared" ref="D469:AE469" si="90">SUM(D470:D474)</f>
        <v>11742480.740000002</v>
      </c>
      <c r="E469" s="31">
        <f t="shared" si="90"/>
        <v>0</v>
      </c>
      <c r="F469" s="31">
        <f t="shared" si="90"/>
        <v>0</v>
      </c>
      <c r="G469" s="31">
        <f t="shared" si="90"/>
        <v>0</v>
      </c>
      <c r="H469" s="31">
        <f t="shared" si="90"/>
        <v>0</v>
      </c>
      <c r="I469" s="31">
        <f t="shared" si="90"/>
        <v>0</v>
      </c>
      <c r="J469" s="31">
        <f t="shared" si="90"/>
        <v>0</v>
      </c>
      <c r="K469" s="33">
        <f t="shared" si="90"/>
        <v>0</v>
      </c>
      <c r="L469" s="31">
        <f t="shared" si="90"/>
        <v>0</v>
      </c>
      <c r="M469" s="31">
        <f t="shared" si="90"/>
        <v>1104.4000000000001</v>
      </c>
      <c r="N469" s="31">
        <f t="shared" si="90"/>
        <v>5681607.3000000007</v>
      </c>
      <c r="O469" s="31">
        <f t="shared" si="90"/>
        <v>0</v>
      </c>
      <c r="P469" s="31">
        <f t="shared" si="90"/>
        <v>0</v>
      </c>
      <c r="Q469" s="31">
        <f t="shared" si="90"/>
        <v>316.60000000000002</v>
      </c>
      <c r="R469" s="31">
        <f t="shared" si="90"/>
        <v>1784451.34</v>
      </c>
      <c r="S469" s="31">
        <f t="shared" si="90"/>
        <v>0</v>
      </c>
      <c r="T469" s="31">
        <f t="shared" si="90"/>
        <v>0</v>
      </c>
      <c r="U469" s="31">
        <f t="shared" si="90"/>
        <v>3628734.33</v>
      </c>
      <c r="V469" s="31">
        <f t="shared" si="90"/>
        <v>0</v>
      </c>
      <c r="W469" s="31">
        <f t="shared" si="90"/>
        <v>0</v>
      </c>
      <c r="X469" s="31">
        <f t="shared" si="90"/>
        <v>0</v>
      </c>
      <c r="Y469" s="31">
        <f t="shared" si="90"/>
        <v>0</v>
      </c>
      <c r="Z469" s="31">
        <f t="shared" si="90"/>
        <v>0</v>
      </c>
      <c r="AA469" s="31">
        <f t="shared" si="90"/>
        <v>0</v>
      </c>
      <c r="AB469" s="31">
        <f t="shared" si="90"/>
        <v>0</v>
      </c>
      <c r="AC469" s="31">
        <f t="shared" si="90"/>
        <v>166421.88</v>
      </c>
      <c r="AD469" s="31">
        <f t="shared" si="90"/>
        <v>361265.89</v>
      </c>
      <c r="AE469" s="31">
        <f t="shared" si="90"/>
        <v>120000</v>
      </c>
      <c r="AF469" s="72" t="s">
        <v>776</v>
      </c>
      <c r="AG469" s="72" t="s">
        <v>776</v>
      </c>
      <c r="AH469" s="89" t="s">
        <v>776</v>
      </c>
      <c r="AT469" s="20" t="e">
        <f t="shared" si="88"/>
        <v>#N/A</v>
      </c>
      <c r="BZ469" s="31">
        <v>11742480.740000002</v>
      </c>
      <c r="CA469" s="31"/>
      <c r="CB469" s="31">
        <f>BZ469-D469</f>
        <v>0</v>
      </c>
      <c r="CD469" s="20" t="e">
        <f t="shared" si="69"/>
        <v>#N/A</v>
      </c>
    </row>
    <row r="470" spans="1:82" ht="61.5" x14ac:dyDescent="0.85">
      <c r="A470" s="20">
        <v>1</v>
      </c>
      <c r="B470" s="66">
        <f>SUBTOTAL(103,$A$22:A470)</f>
        <v>401</v>
      </c>
      <c r="C470" s="24" t="s">
        <v>144</v>
      </c>
      <c r="D470" s="31">
        <f>E470+F470+G470+H470+I470+J470+L470+N470+P470+R470+T470+U470+V470+W470+X470+Y470+Z470+AA470+AB470+AC470+AD470+AE470</f>
        <v>3824431.2399999998</v>
      </c>
      <c r="E470" s="31">
        <v>0</v>
      </c>
      <c r="F470" s="31">
        <v>0</v>
      </c>
      <c r="G470" s="31">
        <v>0</v>
      </c>
      <c r="H470" s="31">
        <v>0</v>
      </c>
      <c r="I470" s="31">
        <v>0</v>
      </c>
      <c r="J470" s="31">
        <v>0</v>
      </c>
      <c r="K470" s="33">
        <v>0</v>
      </c>
      <c r="L470" s="31">
        <v>0</v>
      </c>
      <c r="M470" s="31">
        <v>0</v>
      </c>
      <c r="N470" s="31">
        <v>0</v>
      </c>
      <c r="O470" s="31">
        <v>0</v>
      </c>
      <c r="P470" s="31">
        <v>0</v>
      </c>
      <c r="Q470" s="31">
        <v>0</v>
      </c>
      <c r="R470" s="31">
        <v>0</v>
      </c>
      <c r="S470" s="31">
        <v>0</v>
      </c>
      <c r="T470" s="31">
        <v>0</v>
      </c>
      <c r="U470" s="31">
        <v>3628734.33</v>
      </c>
      <c r="V470" s="31">
        <v>0</v>
      </c>
      <c r="W470" s="31">
        <v>0</v>
      </c>
      <c r="X470" s="31">
        <v>0</v>
      </c>
      <c r="Y470" s="31">
        <v>0</v>
      </c>
      <c r="Z470" s="31">
        <v>0</v>
      </c>
      <c r="AA470" s="31">
        <v>0</v>
      </c>
      <c r="AB470" s="31">
        <v>0</v>
      </c>
      <c r="AC470" s="31">
        <f>ROUND(U470*1.5%,2)</f>
        <v>54431.01</v>
      </c>
      <c r="AD470" s="31">
        <v>141265.9</v>
      </c>
      <c r="AE470" s="31">
        <v>0</v>
      </c>
      <c r="AF470" s="34">
        <v>2020</v>
      </c>
      <c r="AG470" s="34">
        <v>2020</v>
      </c>
      <c r="AH470" s="35">
        <v>2020</v>
      </c>
      <c r="AT470" s="20" t="e">
        <f t="shared" si="88"/>
        <v>#N/A</v>
      </c>
      <c r="BZ470" s="71"/>
      <c r="CD470" s="20" t="e">
        <f t="shared" si="69"/>
        <v>#N/A</v>
      </c>
    </row>
    <row r="471" spans="1:82" ht="61.5" x14ac:dyDescent="0.85">
      <c r="A471" s="20">
        <v>1</v>
      </c>
      <c r="B471" s="66">
        <f>SUBTOTAL(103,$A$22:A471)</f>
        <v>402</v>
      </c>
      <c r="C471" s="24" t="s">
        <v>145</v>
      </c>
      <c r="D471" s="31">
        <f>E471+F471+G471+H471+I471+J471+L471+N471+P471+R471+T471+U471+V471+W471+X471+Y471+Z471+AA471+AB471+AC471+AD471+AE471</f>
        <v>1510400.1400000001</v>
      </c>
      <c r="E471" s="31">
        <v>0</v>
      </c>
      <c r="F471" s="31">
        <v>0</v>
      </c>
      <c r="G471" s="31">
        <v>0</v>
      </c>
      <c r="H471" s="31">
        <v>0</v>
      </c>
      <c r="I471" s="31">
        <v>0</v>
      </c>
      <c r="J471" s="31">
        <v>0</v>
      </c>
      <c r="K471" s="33">
        <v>0</v>
      </c>
      <c r="L471" s="31">
        <v>0</v>
      </c>
      <c r="M471" s="31">
        <v>317.8</v>
      </c>
      <c r="N471" s="31">
        <f>1444390.37+43688.59</f>
        <v>1488078.9600000002</v>
      </c>
      <c r="O471" s="31">
        <v>0</v>
      </c>
      <c r="P471" s="31">
        <v>0</v>
      </c>
      <c r="Q471" s="31">
        <v>0</v>
      </c>
      <c r="R471" s="31">
        <v>0</v>
      </c>
      <c r="S471" s="31">
        <v>0</v>
      </c>
      <c r="T471" s="31">
        <v>0</v>
      </c>
      <c r="U471" s="31">
        <v>0</v>
      </c>
      <c r="V471" s="31">
        <v>0</v>
      </c>
      <c r="W471" s="31">
        <v>0</v>
      </c>
      <c r="X471" s="31">
        <v>0</v>
      </c>
      <c r="Y471" s="31">
        <v>0</v>
      </c>
      <c r="Z471" s="31">
        <v>0</v>
      </c>
      <c r="AA471" s="31">
        <v>0</v>
      </c>
      <c r="AB471" s="31">
        <v>0</v>
      </c>
      <c r="AC471" s="31">
        <f>ROUND(N471*1.5%,2)</f>
        <v>22321.18</v>
      </c>
      <c r="AD471" s="31">
        <v>0</v>
      </c>
      <c r="AE471" s="31">
        <v>0</v>
      </c>
      <c r="AF471" s="34" t="s">
        <v>274</v>
      </c>
      <c r="AG471" s="34">
        <v>2020</v>
      </c>
      <c r="AH471" s="35">
        <v>2020</v>
      </c>
      <c r="AT471" s="20" t="e">
        <f t="shared" si="88"/>
        <v>#N/A</v>
      </c>
      <c r="BZ471" s="71"/>
      <c r="CD471" s="20">
        <f t="shared" ref="CD471:CD534" si="91">VLOOKUP(C471,CE:CF,2,FALSE)</f>
        <v>317.8</v>
      </c>
    </row>
    <row r="472" spans="1:82" ht="61.5" x14ac:dyDescent="0.85">
      <c r="A472" s="20">
        <v>1</v>
      </c>
      <c r="B472" s="66">
        <f>SUBTOTAL(103,$A$22:A472)</f>
        <v>403</v>
      </c>
      <c r="C472" s="24" t="s">
        <v>1292</v>
      </c>
      <c r="D472" s="31">
        <f>E472+F472+G472+H472+I472+J472+L472+N472+P472+R472+T472+U472+V472+W472+X472+Y472+Z472+AA472+AB472+AC472+AD472+AE472</f>
        <v>1911218.1</v>
      </c>
      <c r="E472" s="31">
        <v>0</v>
      </c>
      <c r="F472" s="31">
        <v>0</v>
      </c>
      <c r="G472" s="31">
        <v>0</v>
      </c>
      <c r="H472" s="31">
        <v>0</v>
      </c>
      <c r="I472" s="31">
        <v>0</v>
      </c>
      <c r="J472" s="31">
        <v>0</v>
      </c>
      <c r="K472" s="33">
        <v>0</v>
      </c>
      <c r="L472" s="31">
        <v>0</v>
      </c>
      <c r="M472" s="31">
        <v>0</v>
      </c>
      <c r="N472" s="31">
        <v>0</v>
      </c>
      <c r="O472" s="31">
        <v>0</v>
      </c>
      <c r="P472" s="31">
        <v>0</v>
      </c>
      <c r="Q472" s="31">
        <v>316.60000000000002</v>
      </c>
      <c r="R472" s="31">
        <f>1266400-377064.1+107127.19+787988.25</f>
        <v>1784451.34</v>
      </c>
      <c r="S472" s="31">
        <v>0</v>
      </c>
      <c r="T472" s="31">
        <v>0</v>
      </c>
      <c r="U472" s="31">
        <v>0</v>
      </c>
      <c r="V472" s="31">
        <v>0</v>
      </c>
      <c r="W472" s="31">
        <v>0</v>
      </c>
      <c r="X472" s="31">
        <v>0</v>
      </c>
      <c r="Y472" s="31">
        <v>0</v>
      </c>
      <c r="Z472" s="31">
        <v>0</v>
      </c>
      <c r="AA472" s="31">
        <v>0</v>
      </c>
      <c r="AB472" s="31">
        <v>0</v>
      </c>
      <c r="AC472" s="31">
        <f>ROUND(R472*1.5%,2)</f>
        <v>26766.77</v>
      </c>
      <c r="AD472" s="31">
        <f>100000-0.01</f>
        <v>99999.99</v>
      </c>
      <c r="AE472" s="31">
        <v>0</v>
      </c>
      <c r="AF472" s="34">
        <v>2020</v>
      </c>
      <c r="AG472" s="34">
        <v>2020</v>
      </c>
      <c r="AH472" s="35">
        <v>2020</v>
      </c>
      <c r="BZ472" s="71"/>
      <c r="CD472" s="20" t="e">
        <f t="shared" si="91"/>
        <v>#N/A</v>
      </c>
    </row>
    <row r="473" spans="1:82" ht="61.5" x14ac:dyDescent="0.85">
      <c r="A473" s="20">
        <v>1</v>
      </c>
      <c r="B473" s="66">
        <f>SUBTOTAL(103,$A$22:A473)</f>
        <v>404</v>
      </c>
      <c r="C473" s="24" t="s">
        <v>1293</v>
      </c>
      <c r="D473" s="31">
        <f>E473+F473+G473+H473+I473+J473+L473+N473+P473+R473+T473+U473+V473+W473+X473+Y473+Z473+AA473+AB473+AC473+AD473+AE473</f>
        <v>1517864.1500000001</v>
      </c>
      <c r="E473" s="31">
        <v>0</v>
      </c>
      <c r="F473" s="31">
        <v>0</v>
      </c>
      <c r="G473" s="31">
        <v>0</v>
      </c>
      <c r="H473" s="31">
        <v>0</v>
      </c>
      <c r="I473" s="31">
        <v>0</v>
      </c>
      <c r="J473" s="31">
        <v>0</v>
      </c>
      <c r="K473" s="33">
        <v>0</v>
      </c>
      <c r="L473" s="31">
        <v>0</v>
      </c>
      <c r="M473" s="31">
        <v>189.8</v>
      </c>
      <c r="N473" s="31">
        <v>1377206.06</v>
      </c>
      <c r="O473" s="31">
        <v>0</v>
      </c>
      <c r="P473" s="31">
        <v>0</v>
      </c>
      <c r="Q473" s="31">
        <v>0</v>
      </c>
      <c r="R473" s="31">
        <v>0</v>
      </c>
      <c r="S473" s="31">
        <v>0</v>
      </c>
      <c r="T473" s="31">
        <v>0</v>
      </c>
      <c r="U473" s="31">
        <v>0</v>
      </c>
      <c r="V473" s="31">
        <v>0</v>
      </c>
      <c r="W473" s="31">
        <v>0</v>
      </c>
      <c r="X473" s="31">
        <v>0</v>
      </c>
      <c r="Y473" s="31">
        <v>0</v>
      </c>
      <c r="Z473" s="31">
        <v>0</v>
      </c>
      <c r="AA473" s="31">
        <v>0</v>
      </c>
      <c r="AB473" s="31">
        <v>0</v>
      </c>
      <c r="AC473" s="31">
        <f>ROUND(N473*1.5%,2)</f>
        <v>20658.09</v>
      </c>
      <c r="AD473" s="31">
        <v>0</v>
      </c>
      <c r="AE473" s="31">
        <v>120000</v>
      </c>
      <c r="AF473" s="34" t="s">
        <v>274</v>
      </c>
      <c r="AG473" s="34">
        <v>2020</v>
      </c>
      <c r="AH473" s="35">
        <v>2020</v>
      </c>
      <c r="BZ473" s="71"/>
      <c r="CD473" s="20">
        <f t="shared" si="91"/>
        <v>189.8</v>
      </c>
    </row>
    <row r="474" spans="1:82" ht="61.5" x14ac:dyDescent="0.85">
      <c r="A474" s="20">
        <v>1</v>
      </c>
      <c r="B474" s="66">
        <f>SUBTOTAL(103,$A$22:A474)</f>
        <v>405</v>
      </c>
      <c r="C474" s="24" t="s">
        <v>1328</v>
      </c>
      <c r="D474" s="31">
        <f>E474+F474+G474+H474+I474+J474+L474+N474+P474+R474+T474+U474+V474+W474+X474+Y474+Z474+AA474+AB474+AC474+AD474+AE474</f>
        <v>2978567.1100000003</v>
      </c>
      <c r="E474" s="31">
        <v>0</v>
      </c>
      <c r="F474" s="31">
        <v>0</v>
      </c>
      <c r="G474" s="31">
        <v>0</v>
      </c>
      <c r="H474" s="31">
        <v>0</v>
      </c>
      <c r="I474" s="31">
        <v>0</v>
      </c>
      <c r="J474" s="31">
        <v>0</v>
      </c>
      <c r="K474" s="33">
        <v>0</v>
      </c>
      <c r="L474" s="31">
        <v>0</v>
      </c>
      <c r="M474" s="31">
        <v>596.79999999999995</v>
      </c>
      <c r="N474" s="31">
        <f>2367388.18+448934.1</f>
        <v>2816322.2800000003</v>
      </c>
      <c r="O474" s="31">
        <v>0</v>
      </c>
      <c r="P474" s="31">
        <v>0</v>
      </c>
      <c r="Q474" s="31">
        <v>0</v>
      </c>
      <c r="R474" s="31">
        <v>0</v>
      </c>
      <c r="S474" s="31">
        <v>0</v>
      </c>
      <c r="T474" s="31">
        <v>0</v>
      </c>
      <c r="U474" s="31">
        <v>0</v>
      </c>
      <c r="V474" s="31">
        <v>0</v>
      </c>
      <c r="W474" s="31">
        <v>0</v>
      </c>
      <c r="X474" s="31">
        <v>0</v>
      </c>
      <c r="Y474" s="31">
        <v>0</v>
      </c>
      <c r="Z474" s="31">
        <v>0</v>
      </c>
      <c r="AA474" s="31">
        <v>0</v>
      </c>
      <c r="AB474" s="31">
        <v>0</v>
      </c>
      <c r="AC474" s="31">
        <f>ROUND(N474*1.5%,2)</f>
        <v>42244.83</v>
      </c>
      <c r="AD474" s="31">
        <v>120000</v>
      </c>
      <c r="AE474" s="31">
        <v>0</v>
      </c>
      <c r="AF474" s="34">
        <v>2020</v>
      </c>
      <c r="AG474" s="34">
        <v>2020</v>
      </c>
      <c r="AH474" s="35">
        <v>2020</v>
      </c>
      <c r="BZ474" s="71"/>
      <c r="CD474" s="20" t="e">
        <f t="shared" si="91"/>
        <v>#N/A</v>
      </c>
    </row>
    <row r="475" spans="1:82" ht="61.5" x14ac:dyDescent="0.85">
      <c r="B475" s="24" t="s">
        <v>877</v>
      </c>
      <c r="C475" s="24"/>
      <c r="D475" s="31">
        <f>D476+D477+D478+D479+D480+D481+D482+D483+D484+D485+D486</f>
        <v>43274846.74000001</v>
      </c>
      <c r="E475" s="31">
        <f t="shared" ref="E475:AE475" si="92">E476+E477+E478+E479+E480+E481+E482+E483+E484+E485+E486</f>
        <v>247105.2</v>
      </c>
      <c r="F475" s="31">
        <f t="shared" si="92"/>
        <v>0</v>
      </c>
      <c r="G475" s="31">
        <f t="shared" si="92"/>
        <v>2847360.26</v>
      </c>
      <c r="H475" s="31">
        <f t="shared" si="92"/>
        <v>314927.94</v>
      </c>
      <c r="I475" s="31">
        <f t="shared" si="92"/>
        <v>730380.2</v>
      </c>
      <c r="J475" s="31">
        <f t="shared" si="92"/>
        <v>0</v>
      </c>
      <c r="K475" s="33">
        <f t="shared" si="92"/>
        <v>0</v>
      </c>
      <c r="L475" s="31">
        <f t="shared" si="92"/>
        <v>0</v>
      </c>
      <c r="M475" s="31">
        <f t="shared" si="92"/>
        <v>7890.9599999999991</v>
      </c>
      <c r="N475" s="31">
        <f t="shared" si="92"/>
        <v>37947751.359999999</v>
      </c>
      <c r="O475" s="31">
        <f t="shared" si="92"/>
        <v>0</v>
      </c>
      <c r="P475" s="31">
        <f t="shared" si="92"/>
        <v>0</v>
      </c>
      <c r="Q475" s="31">
        <f t="shared" si="92"/>
        <v>0</v>
      </c>
      <c r="R475" s="31">
        <f t="shared" si="92"/>
        <v>0</v>
      </c>
      <c r="S475" s="31">
        <f t="shared" si="92"/>
        <v>0</v>
      </c>
      <c r="T475" s="31">
        <f t="shared" si="92"/>
        <v>0</v>
      </c>
      <c r="U475" s="31">
        <f t="shared" si="92"/>
        <v>0</v>
      </c>
      <c r="V475" s="31">
        <f t="shared" si="92"/>
        <v>0</v>
      </c>
      <c r="W475" s="31">
        <f t="shared" si="92"/>
        <v>0</v>
      </c>
      <c r="X475" s="31">
        <f t="shared" si="92"/>
        <v>0</v>
      </c>
      <c r="Y475" s="31">
        <f t="shared" si="92"/>
        <v>0</v>
      </c>
      <c r="Z475" s="31">
        <f t="shared" si="92"/>
        <v>0</v>
      </c>
      <c r="AA475" s="31">
        <f t="shared" si="92"/>
        <v>0</v>
      </c>
      <c r="AB475" s="31">
        <f t="shared" si="92"/>
        <v>0</v>
      </c>
      <c r="AC475" s="31">
        <f t="shared" si="92"/>
        <v>631312.88</v>
      </c>
      <c r="AD475" s="31">
        <f t="shared" si="92"/>
        <v>556008.9</v>
      </c>
      <c r="AE475" s="31">
        <f t="shared" si="92"/>
        <v>0</v>
      </c>
      <c r="AF475" s="72" t="s">
        <v>776</v>
      </c>
      <c r="AG475" s="72" t="s">
        <v>776</v>
      </c>
      <c r="AH475" s="89" t="s">
        <v>776</v>
      </c>
      <c r="AT475" s="20" t="e">
        <f>VLOOKUP(C475,AW:AX,2,FALSE)</f>
        <v>#N/A</v>
      </c>
      <c r="BZ475" s="31">
        <v>43274846.739999995</v>
      </c>
      <c r="CA475" s="31"/>
      <c r="CB475" s="31">
        <f>BZ475-D475</f>
        <v>0</v>
      </c>
      <c r="CD475" s="20" t="e">
        <f t="shared" si="91"/>
        <v>#N/A</v>
      </c>
    </row>
    <row r="476" spans="1:82" ht="61.5" x14ac:dyDescent="0.85">
      <c r="A476" s="20">
        <v>1</v>
      </c>
      <c r="B476" s="66">
        <f>SUBTOTAL(103,$A$22:A476)</f>
        <v>406</v>
      </c>
      <c r="C476" s="24" t="s">
        <v>147</v>
      </c>
      <c r="D476" s="31">
        <f t="shared" ref="D476:D482" si="93">E476+F476+G476+H476+I476+J476+L476+N476+P476+R476+T476+U476+V476+W476+X476+Y476+Z476+AA476+AB476+AC476+AD476+AE476</f>
        <v>5610321.0300000003</v>
      </c>
      <c r="E476" s="31">
        <v>0</v>
      </c>
      <c r="F476" s="31">
        <v>0</v>
      </c>
      <c r="G476" s="31">
        <v>0</v>
      </c>
      <c r="H476" s="31">
        <v>0</v>
      </c>
      <c r="I476" s="31">
        <v>0</v>
      </c>
      <c r="J476" s="31">
        <v>0</v>
      </c>
      <c r="K476" s="33">
        <v>0</v>
      </c>
      <c r="L476" s="31">
        <v>0</v>
      </c>
      <c r="M476" s="31">
        <v>1525.2</v>
      </c>
      <c r="N476" s="31">
        <v>5527409.8799999999</v>
      </c>
      <c r="O476" s="31">
        <v>0</v>
      </c>
      <c r="P476" s="31">
        <v>0</v>
      </c>
      <c r="Q476" s="31">
        <v>0</v>
      </c>
      <c r="R476" s="31">
        <v>0</v>
      </c>
      <c r="S476" s="31">
        <v>0</v>
      </c>
      <c r="T476" s="31">
        <v>0</v>
      </c>
      <c r="U476" s="31">
        <v>0</v>
      </c>
      <c r="V476" s="31">
        <v>0</v>
      </c>
      <c r="W476" s="31">
        <v>0</v>
      </c>
      <c r="X476" s="31">
        <v>0</v>
      </c>
      <c r="Y476" s="31">
        <v>0</v>
      </c>
      <c r="Z476" s="31">
        <v>0</v>
      </c>
      <c r="AA476" s="31">
        <v>0</v>
      </c>
      <c r="AB476" s="31">
        <v>0</v>
      </c>
      <c r="AC476" s="31">
        <f>ROUND(N476*1.5%,2)</f>
        <v>82911.149999999994</v>
      </c>
      <c r="AD476" s="31">
        <v>0</v>
      </c>
      <c r="AE476" s="31">
        <v>0</v>
      </c>
      <c r="AF476" s="34" t="s">
        <v>274</v>
      </c>
      <c r="AG476" s="34">
        <v>2020</v>
      </c>
      <c r="AH476" s="35">
        <v>2020</v>
      </c>
      <c r="AT476" s="20" t="e">
        <f>VLOOKUP(C476,AW:AX,2,FALSE)</f>
        <v>#N/A</v>
      </c>
      <c r="BZ476" s="71"/>
      <c r="CD476" s="20">
        <f t="shared" si="91"/>
        <v>1525.2</v>
      </c>
    </row>
    <row r="477" spans="1:82" ht="61.5" x14ac:dyDescent="0.85">
      <c r="A477" s="20">
        <v>1</v>
      </c>
      <c r="B477" s="66">
        <f>SUBTOTAL(103,$A$22:A477)</f>
        <v>407</v>
      </c>
      <c r="C477" s="24" t="s">
        <v>142</v>
      </c>
      <c r="D477" s="31">
        <f t="shared" si="93"/>
        <v>5343157.95</v>
      </c>
      <c r="E477" s="31">
        <v>0</v>
      </c>
      <c r="F477" s="31">
        <v>0</v>
      </c>
      <c r="G477" s="31">
        <v>0</v>
      </c>
      <c r="H477" s="31">
        <v>0</v>
      </c>
      <c r="I477" s="31">
        <v>0</v>
      </c>
      <c r="J477" s="31">
        <v>0</v>
      </c>
      <c r="K477" s="33">
        <v>0</v>
      </c>
      <c r="L477" s="31">
        <v>0</v>
      </c>
      <c r="M477" s="31">
        <v>1140</v>
      </c>
      <c r="N477" s="31">
        <f>3946898.72+654836.09+458661.47-6778.25+92350.39</f>
        <v>5145968.42</v>
      </c>
      <c r="O477" s="31">
        <v>0</v>
      </c>
      <c r="P477" s="31">
        <v>0</v>
      </c>
      <c r="Q477" s="31">
        <v>0</v>
      </c>
      <c r="R477" s="31">
        <v>0</v>
      </c>
      <c r="S477" s="31">
        <v>0</v>
      </c>
      <c r="T477" s="31">
        <v>0</v>
      </c>
      <c r="U477" s="31">
        <v>0</v>
      </c>
      <c r="V477" s="31">
        <v>0</v>
      </c>
      <c r="W477" s="31">
        <v>0</v>
      </c>
      <c r="X477" s="31">
        <v>0</v>
      </c>
      <c r="Y477" s="31">
        <v>0</v>
      </c>
      <c r="Z477" s="31">
        <v>0</v>
      </c>
      <c r="AA477" s="31">
        <v>0</v>
      </c>
      <c r="AB477" s="31">
        <v>0</v>
      </c>
      <c r="AC477" s="31">
        <f>ROUND(N477*1.5%,2)</f>
        <v>77189.53</v>
      </c>
      <c r="AD477" s="31">
        <v>120000</v>
      </c>
      <c r="AE477" s="31">
        <v>0</v>
      </c>
      <c r="AF477" s="34">
        <v>2020</v>
      </c>
      <c r="AG477" s="34">
        <v>2020</v>
      </c>
      <c r="AH477" s="35">
        <v>2020</v>
      </c>
      <c r="AT477" s="20" t="e">
        <f>VLOOKUP(C477,AW:AX,2,FALSE)</f>
        <v>#N/A</v>
      </c>
      <c r="BZ477" s="71"/>
      <c r="CD477" s="20" t="e">
        <f t="shared" si="91"/>
        <v>#N/A</v>
      </c>
    </row>
    <row r="478" spans="1:82" ht="61.5" x14ac:dyDescent="0.85">
      <c r="A478" s="20">
        <v>1</v>
      </c>
      <c r="B478" s="66">
        <f>SUBTOTAL(103,$A$22:A478)</f>
        <v>408</v>
      </c>
      <c r="C478" s="24" t="s">
        <v>143</v>
      </c>
      <c r="D478" s="31">
        <f t="shared" si="93"/>
        <v>5046150.49</v>
      </c>
      <c r="E478" s="31">
        <v>0</v>
      </c>
      <c r="F478" s="31">
        <v>0</v>
      </c>
      <c r="G478" s="31">
        <v>0</v>
      </c>
      <c r="H478" s="31">
        <v>0</v>
      </c>
      <c r="I478" s="31">
        <v>0</v>
      </c>
      <c r="J478" s="31">
        <v>0</v>
      </c>
      <c r="K478" s="33">
        <v>0</v>
      </c>
      <c r="L478" s="31">
        <v>0</v>
      </c>
      <c r="M478" s="31">
        <v>1373.6</v>
      </c>
      <c r="N478" s="31">
        <v>4971576.84</v>
      </c>
      <c r="O478" s="31">
        <v>0</v>
      </c>
      <c r="P478" s="31">
        <v>0</v>
      </c>
      <c r="Q478" s="31">
        <v>0</v>
      </c>
      <c r="R478" s="31">
        <v>0</v>
      </c>
      <c r="S478" s="31">
        <v>0</v>
      </c>
      <c r="T478" s="31">
        <v>0</v>
      </c>
      <c r="U478" s="31">
        <v>0</v>
      </c>
      <c r="V478" s="31">
        <v>0</v>
      </c>
      <c r="W478" s="31">
        <v>0</v>
      </c>
      <c r="X478" s="31">
        <v>0</v>
      </c>
      <c r="Y478" s="31">
        <v>0</v>
      </c>
      <c r="Z478" s="31">
        <v>0</v>
      </c>
      <c r="AA478" s="31">
        <v>0</v>
      </c>
      <c r="AB478" s="31">
        <v>0</v>
      </c>
      <c r="AC478" s="31">
        <f>ROUND(N478*1.5%,2)</f>
        <v>74573.649999999994</v>
      </c>
      <c r="AD478" s="31">
        <v>0</v>
      </c>
      <c r="AE478" s="31">
        <v>0</v>
      </c>
      <c r="AF478" s="34" t="s">
        <v>274</v>
      </c>
      <c r="AG478" s="34">
        <v>2020</v>
      </c>
      <c r="AH478" s="35">
        <v>2020</v>
      </c>
      <c r="AT478" s="20" t="e">
        <f>VLOOKUP(C478,AW:AX,2,FALSE)</f>
        <v>#N/A</v>
      </c>
      <c r="BZ478" s="71"/>
      <c r="CD478" s="20">
        <f t="shared" si="91"/>
        <v>1373.6</v>
      </c>
    </row>
    <row r="479" spans="1:82" ht="61.5" x14ac:dyDescent="0.85">
      <c r="A479" s="20">
        <v>1</v>
      </c>
      <c r="B479" s="66">
        <f>SUBTOTAL(103,$A$22:A479)</f>
        <v>409</v>
      </c>
      <c r="C479" s="24" t="s">
        <v>1284</v>
      </c>
      <c r="D479" s="31">
        <f t="shared" si="93"/>
        <v>1438516.04</v>
      </c>
      <c r="E479" s="31">
        <v>123997.1</v>
      </c>
      <c r="F479" s="31">
        <v>0</v>
      </c>
      <c r="G479" s="31">
        <v>827956.03</v>
      </c>
      <c r="H479" s="31">
        <v>130137.83</v>
      </c>
      <c r="I479" s="31">
        <v>335166.21999999997</v>
      </c>
      <c r="J479" s="31">
        <v>0</v>
      </c>
      <c r="K479" s="33">
        <v>0</v>
      </c>
      <c r="L479" s="31">
        <v>0</v>
      </c>
      <c r="M479" s="31">
        <v>0</v>
      </c>
      <c r="N479" s="31">
        <v>0</v>
      </c>
      <c r="O479" s="31">
        <v>0</v>
      </c>
      <c r="P479" s="31">
        <v>0</v>
      </c>
      <c r="Q479" s="31">
        <v>0</v>
      </c>
      <c r="R479" s="31">
        <v>0</v>
      </c>
      <c r="S479" s="31">
        <v>0</v>
      </c>
      <c r="T479" s="31">
        <v>0</v>
      </c>
      <c r="U479" s="31">
        <v>0</v>
      </c>
      <c r="V479" s="31">
        <v>0</v>
      </c>
      <c r="W479" s="31">
        <v>0</v>
      </c>
      <c r="X479" s="31">
        <v>0</v>
      </c>
      <c r="Y479" s="31">
        <v>0</v>
      </c>
      <c r="Z479" s="31">
        <v>0</v>
      </c>
      <c r="AA479" s="31">
        <v>0</v>
      </c>
      <c r="AB479" s="31">
        <v>0</v>
      </c>
      <c r="AC479" s="31">
        <f>ROUND((E479+F479+G479+H479+I479+J479)*1.5%,2)</f>
        <v>21258.86</v>
      </c>
      <c r="AD479" s="31">
        <v>0</v>
      </c>
      <c r="AE479" s="31">
        <v>0</v>
      </c>
      <c r="AF479" s="34" t="s">
        <v>274</v>
      </c>
      <c r="AG479" s="34">
        <v>2020</v>
      </c>
      <c r="AH479" s="35">
        <v>2020</v>
      </c>
      <c r="BZ479" s="71"/>
      <c r="CD479" s="20" t="e">
        <f t="shared" si="91"/>
        <v>#N/A</v>
      </c>
    </row>
    <row r="480" spans="1:82" ht="61.5" x14ac:dyDescent="0.85">
      <c r="A480" s="20">
        <v>1</v>
      </c>
      <c r="B480" s="66">
        <f>SUBTOTAL(103,$A$22:A480)</f>
        <v>410</v>
      </c>
      <c r="C480" s="24" t="s">
        <v>1285</v>
      </c>
      <c r="D480" s="31">
        <f t="shared" si="93"/>
        <v>1354269.58</v>
      </c>
      <c r="E480" s="31">
        <v>123108.1</v>
      </c>
      <c r="F480" s="31">
        <v>0</v>
      </c>
      <c r="G480" s="31">
        <v>631143.55000000005</v>
      </c>
      <c r="H480" s="31">
        <v>184790.11</v>
      </c>
      <c r="I480" s="31">
        <v>395213.98</v>
      </c>
      <c r="J480" s="31">
        <v>0</v>
      </c>
      <c r="K480" s="33">
        <v>0</v>
      </c>
      <c r="L480" s="31">
        <v>0</v>
      </c>
      <c r="M480" s="31">
        <v>0</v>
      </c>
      <c r="N480" s="31">
        <v>0</v>
      </c>
      <c r="O480" s="31">
        <v>0</v>
      </c>
      <c r="P480" s="31">
        <v>0</v>
      </c>
      <c r="Q480" s="31">
        <v>0</v>
      </c>
      <c r="R480" s="31">
        <v>0</v>
      </c>
      <c r="S480" s="31">
        <v>0</v>
      </c>
      <c r="T480" s="31">
        <v>0</v>
      </c>
      <c r="U480" s="31">
        <v>0</v>
      </c>
      <c r="V480" s="31">
        <v>0</v>
      </c>
      <c r="W480" s="31">
        <v>0</v>
      </c>
      <c r="X480" s="31">
        <v>0</v>
      </c>
      <c r="Y480" s="31">
        <v>0</v>
      </c>
      <c r="Z480" s="31">
        <v>0</v>
      </c>
      <c r="AA480" s="31">
        <v>0</v>
      </c>
      <c r="AB480" s="31">
        <v>0</v>
      </c>
      <c r="AC480" s="31">
        <f>ROUND((E480+F480+G480+H480+I480+J480)*1.5%,2)</f>
        <v>20013.84</v>
      </c>
      <c r="AD480" s="31">
        <v>0</v>
      </c>
      <c r="AE480" s="31">
        <v>0</v>
      </c>
      <c r="AF480" s="34" t="s">
        <v>274</v>
      </c>
      <c r="AG480" s="34">
        <v>2020</v>
      </c>
      <c r="AH480" s="35">
        <v>2020</v>
      </c>
      <c r="BZ480" s="71"/>
      <c r="CD480" s="20" t="e">
        <f t="shared" si="91"/>
        <v>#N/A</v>
      </c>
    </row>
    <row r="481" spans="1:82" ht="61.5" x14ac:dyDescent="0.85">
      <c r="A481" s="20">
        <v>1</v>
      </c>
      <c r="B481" s="66">
        <f>SUBTOTAL(103,$A$22:A481)</f>
        <v>411</v>
      </c>
      <c r="C481" s="24" t="s">
        <v>1286</v>
      </c>
      <c r="D481" s="31">
        <f t="shared" si="93"/>
        <v>1409084.5899999999</v>
      </c>
      <c r="E481" s="31">
        <v>0</v>
      </c>
      <c r="F481" s="31">
        <v>0</v>
      </c>
      <c r="G481" s="31">
        <v>1388260.68</v>
      </c>
      <c r="H481" s="31">
        <v>0</v>
      </c>
      <c r="I481" s="31">
        <v>0</v>
      </c>
      <c r="J481" s="31">
        <v>0</v>
      </c>
      <c r="K481" s="33">
        <v>0</v>
      </c>
      <c r="L481" s="31">
        <v>0</v>
      </c>
      <c r="M481" s="31">
        <v>0</v>
      </c>
      <c r="N481" s="31">
        <v>0</v>
      </c>
      <c r="O481" s="31">
        <v>0</v>
      </c>
      <c r="P481" s="31">
        <v>0</v>
      </c>
      <c r="Q481" s="31">
        <v>0</v>
      </c>
      <c r="R481" s="31">
        <v>0</v>
      </c>
      <c r="S481" s="31">
        <v>0</v>
      </c>
      <c r="T481" s="31">
        <v>0</v>
      </c>
      <c r="U481" s="31">
        <v>0</v>
      </c>
      <c r="V481" s="31">
        <v>0</v>
      </c>
      <c r="W481" s="31">
        <v>0</v>
      </c>
      <c r="X481" s="31">
        <v>0</v>
      </c>
      <c r="Y481" s="31">
        <v>0</v>
      </c>
      <c r="Z481" s="31">
        <v>0</v>
      </c>
      <c r="AA481" s="31">
        <v>0</v>
      </c>
      <c r="AB481" s="31">
        <v>0</v>
      </c>
      <c r="AC481" s="31">
        <f>ROUND((E481+F481+G481+H481+I481+J481)*1.5%,2)</f>
        <v>20823.91</v>
      </c>
      <c r="AD481" s="31">
        <v>0</v>
      </c>
      <c r="AE481" s="31">
        <v>0</v>
      </c>
      <c r="AF481" s="34" t="s">
        <v>274</v>
      </c>
      <c r="AG481" s="34">
        <v>2020</v>
      </c>
      <c r="AH481" s="35">
        <v>2020</v>
      </c>
      <c r="BZ481" s="71"/>
      <c r="CD481" s="20" t="e">
        <f t="shared" si="91"/>
        <v>#N/A</v>
      </c>
    </row>
    <row r="482" spans="1:82" ht="61.5" x14ac:dyDescent="0.85">
      <c r="A482" s="20">
        <v>1</v>
      </c>
      <c r="B482" s="66">
        <f>SUBTOTAL(103,$A$22:A482)</f>
        <v>412</v>
      </c>
      <c r="C482" s="24" t="s">
        <v>1314</v>
      </c>
      <c r="D482" s="31">
        <f t="shared" si="93"/>
        <v>2817203.62</v>
      </c>
      <c r="E482" s="31">
        <v>0</v>
      </c>
      <c r="F482" s="31">
        <v>0</v>
      </c>
      <c r="G482" s="31">
        <v>0</v>
      </c>
      <c r="H482" s="31">
        <v>0</v>
      </c>
      <c r="I482" s="31">
        <v>0</v>
      </c>
      <c r="J482" s="31">
        <v>0</v>
      </c>
      <c r="K482" s="33">
        <v>0</v>
      </c>
      <c r="L482" s="31">
        <v>0</v>
      </c>
      <c r="M482" s="31">
        <v>500</v>
      </c>
      <c r="N482" s="31">
        <v>2721315.37</v>
      </c>
      <c r="O482" s="31">
        <v>0</v>
      </c>
      <c r="P482" s="31">
        <v>0</v>
      </c>
      <c r="Q482" s="31">
        <v>0</v>
      </c>
      <c r="R482" s="31">
        <v>0</v>
      </c>
      <c r="S482" s="31">
        <v>0</v>
      </c>
      <c r="T482" s="31">
        <v>0</v>
      </c>
      <c r="U482" s="31">
        <v>0</v>
      </c>
      <c r="V482" s="31">
        <v>0</v>
      </c>
      <c r="W482" s="31">
        <v>0</v>
      </c>
      <c r="X482" s="31">
        <v>0</v>
      </c>
      <c r="Y482" s="31">
        <v>0</v>
      </c>
      <c r="Z482" s="31">
        <v>0</v>
      </c>
      <c r="AA482" s="31">
        <v>0</v>
      </c>
      <c r="AB482" s="31">
        <v>0</v>
      </c>
      <c r="AC482" s="31">
        <f>ROUND(N482*1.5%,2)</f>
        <v>40819.730000000003</v>
      </c>
      <c r="AD482" s="31">
        <v>55068.52</v>
      </c>
      <c r="AE482" s="31">
        <v>0</v>
      </c>
      <c r="AF482" s="34">
        <v>2020</v>
      </c>
      <c r="AG482" s="34">
        <v>2020</v>
      </c>
      <c r="AH482" s="35">
        <v>2020</v>
      </c>
      <c r="BZ482" s="71"/>
      <c r="CD482" s="20">
        <f t="shared" si="91"/>
        <v>500</v>
      </c>
    </row>
    <row r="483" spans="1:82" ht="61.5" x14ac:dyDescent="0.85">
      <c r="A483" s="20">
        <v>1</v>
      </c>
      <c r="B483" s="66">
        <f>SUBTOTAL(103,$A$22:A483)</f>
        <v>413</v>
      </c>
      <c r="C483" s="24" t="s">
        <v>1315</v>
      </c>
      <c r="D483" s="31">
        <f>E483+F483+G483+H483+I483+J483+L483+N483+P483+R483+T483+U483+V483+W483+X483+Y483+Z483+AA483+AB483+AC483+AD483+AE483</f>
        <v>4994309.25</v>
      </c>
      <c r="E483" s="31">
        <v>0</v>
      </c>
      <c r="F483" s="31">
        <v>0</v>
      </c>
      <c r="G483" s="31">
        <v>0</v>
      </c>
      <c r="H483" s="31">
        <v>0</v>
      </c>
      <c r="I483" s="31">
        <v>0</v>
      </c>
      <c r="J483" s="31">
        <v>0</v>
      </c>
      <c r="K483" s="33">
        <v>0</v>
      </c>
      <c r="L483" s="31">
        <v>0</v>
      </c>
      <c r="M483" s="31">
        <v>958</v>
      </c>
      <c r="N483" s="31">
        <v>4823000</v>
      </c>
      <c r="O483" s="31">
        <v>0</v>
      </c>
      <c r="P483" s="31">
        <v>0</v>
      </c>
      <c r="Q483" s="31">
        <v>0</v>
      </c>
      <c r="R483" s="31">
        <v>0</v>
      </c>
      <c r="S483" s="31">
        <v>0</v>
      </c>
      <c r="T483" s="31">
        <v>0</v>
      </c>
      <c r="U483" s="31">
        <v>0</v>
      </c>
      <c r="V483" s="31">
        <v>0</v>
      </c>
      <c r="W483" s="31">
        <v>0</v>
      </c>
      <c r="X483" s="31">
        <v>0</v>
      </c>
      <c r="Y483" s="31">
        <v>0</v>
      </c>
      <c r="Z483" s="31">
        <v>0</v>
      </c>
      <c r="AA483" s="31">
        <v>0</v>
      </c>
      <c r="AB483" s="31">
        <v>0</v>
      </c>
      <c r="AC483" s="31">
        <f>ROUND(N483*1.5%,2)</f>
        <v>72345</v>
      </c>
      <c r="AD483" s="31">
        <v>98964.25</v>
      </c>
      <c r="AE483" s="31">
        <v>0</v>
      </c>
      <c r="AF483" s="34">
        <v>2020</v>
      </c>
      <c r="AG483" s="34">
        <v>2020</v>
      </c>
      <c r="AH483" s="35">
        <v>2020</v>
      </c>
      <c r="BZ483" s="71"/>
      <c r="CD483" s="20">
        <f t="shared" si="91"/>
        <v>958</v>
      </c>
    </row>
    <row r="484" spans="1:82" ht="61.5" x14ac:dyDescent="0.85">
      <c r="A484" s="20">
        <v>1</v>
      </c>
      <c r="B484" s="66">
        <f>SUBTOTAL(103,$A$22:A484)</f>
        <v>414</v>
      </c>
      <c r="C484" s="24" t="s">
        <v>1610</v>
      </c>
      <c r="D484" s="31">
        <f>E484+F484+G484+H484+I484+J484+L484+N484+P484+R484+T484+U484+V484+W484+X484+Y484+Z484+AA484+AB484+AC484+AD484+AE484</f>
        <v>3228279.17</v>
      </c>
      <c r="E484" s="31">
        <v>0</v>
      </c>
      <c r="F484" s="31">
        <v>0</v>
      </c>
      <c r="G484" s="31">
        <v>0</v>
      </c>
      <c r="H484" s="31">
        <v>0</v>
      </c>
      <c r="I484" s="31">
        <v>0</v>
      </c>
      <c r="J484" s="31">
        <v>0</v>
      </c>
      <c r="K484" s="33">
        <v>0</v>
      </c>
      <c r="L484" s="31">
        <v>0</v>
      </c>
      <c r="M484" s="31">
        <v>524.36</v>
      </c>
      <c r="N484" s="31">
        <f>2577638.47+532019.7</f>
        <v>3109658.17</v>
      </c>
      <c r="O484" s="31">
        <v>0</v>
      </c>
      <c r="P484" s="31">
        <v>0</v>
      </c>
      <c r="Q484" s="31">
        <v>0</v>
      </c>
      <c r="R484" s="31">
        <v>0</v>
      </c>
      <c r="S484" s="31">
        <v>0</v>
      </c>
      <c r="T484" s="31">
        <v>0</v>
      </c>
      <c r="U484" s="31">
        <v>0</v>
      </c>
      <c r="V484" s="31">
        <v>0</v>
      </c>
      <c r="W484" s="31">
        <v>0</v>
      </c>
      <c r="X484" s="31">
        <v>0</v>
      </c>
      <c r="Y484" s="31">
        <v>0</v>
      </c>
      <c r="Z484" s="31">
        <v>0</v>
      </c>
      <c r="AA484" s="31">
        <v>0</v>
      </c>
      <c r="AB484" s="31">
        <v>0</v>
      </c>
      <c r="AC484" s="31">
        <f>ROUND(N484*1.5%,2)</f>
        <v>46644.87</v>
      </c>
      <c r="AD484" s="31">
        <v>71976.13</v>
      </c>
      <c r="AE484" s="31">
        <v>0</v>
      </c>
      <c r="AF484" s="34">
        <v>2020</v>
      </c>
      <c r="AG484" s="34">
        <v>2020</v>
      </c>
      <c r="AH484" s="35">
        <v>2020</v>
      </c>
      <c r="BZ484" s="71"/>
      <c r="CD484" s="20" t="e">
        <f t="shared" si="91"/>
        <v>#N/A</v>
      </c>
    </row>
    <row r="485" spans="1:82" ht="61.5" x14ac:dyDescent="0.85">
      <c r="A485" s="20">
        <v>1</v>
      </c>
      <c r="B485" s="66">
        <f>SUBTOTAL(103,$A$22:A485)</f>
        <v>415</v>
      </c>
      <c r="C485" s="24" t="s">
        <v>153</v>
      </c>
      <c r="D485" s="31">
        <f>E485+F485+G485+H485+I485+J485+L485+N485+P485+R485+T485+U485+V485+W485+X485+Y485+Z485+AA485+AB485+AC485+AD485+AE485</f>
        <v>5184797.5</v>
      </c>
      <c r="E485" s="31">
        <v>0</v>
      </c>
      <c r="F485" s="31">
        <v>0</v>
      </c>
      <c r="G485" s="31">
        <v>0</v>
      </c>
      <c r="H485" s="31">
        <v>0</v>
      </c>
      <c r="I485" s="31">
        <v>0</v>
      </c>
      <c r="J485" s="31">
        <v>0</v>
      </c>
      <c r="K485" s="33">
        <v>0</v>
      </c>
      <c r="L485" s="31">
        <v>0</v>
      </c>
      <c r="M485" s="31">
        <v>833.9</v>
      </c>
      <c r="N485" s="31">
        <v>5019504.93</v>
      </c>
      <c r="O485" s="31">
        <v>0</v>
      </c>
      <c r="P485" s="31">
        <v>0</v>
      </c>
      <c r="Q485" s="31">
        <v>0</v>
      </c>
      <c r="R485" s="31">
        <v>0</v>
      </c>
      <c r="S485" s="31">
        <v>0</v>
      </c>
      <c r="T485" s="31">
        <v>0</v>
      </c>
      <c r="U485" s="31">
        <v>0</v>
      </c>
      <c r="V485" s="31">
        <v>0</v>
      </c>
      <c r="W485" s="31">
        <v>0</v>
      </c>
      <c r="X485" s="31">
        <v>0</v>
      </c>
      <c r="Y485" s="31">
        <v>0</v>
      </c>
      <c r="Z485" s="31">
        <v>0</v>
      </c>
      <c r="AA485" s="31">
        <v>0</v>
      </c>
      <c r="AB485" s="31">
        <v>0</v>
      </c>
      <c r="AC485" s="31">
        <f>ROUND(N485*1.5%,2)</f>
        <v>75292.570000000007</v>
      </c>
      <c r="AD485" s="31">
        <v>90000</v>
      </c>
      <c r="AE485" s="31">
        <v>0</v>
      </c>
      <c r="AF485" s="34">
        <v>2020</v>
      </c>
      <c r="AG485" s="34">
        <v>2020</v>
      </c>
      <c r="AH485" s="35">
        <v>2020</v>
      </c>
      <c r="AT485" s="20" t="e">
        <f>VLOOKUP(C485,AW:AX,2,FALSE)</f>
        <v>#N/A</v>
      </c>
      <c r="BZ485" s="71"/>
      <c r="CD485" s="20">
        <f t="shared" si="91"/>
        <v>833.9</v>
      </c>
    </row>
    <row r="486" spans="1:82" ht="61.5" x14ac:dyDescent="0.85">
      <c r="A486" s="20">
        <v>1</v>
      </c>
      <c r="B486" s="66">
        <f>SUBTOTAL(103,$A$22:A486)</f>
        <v>416</v>
      </c>
      <c r="C486" s="24" t="s">
        <v>154</v>
      </c>
      <c r="D486" s="31">
        <f>E486+F486+G486+H486+I486+J486+L486+N486+P486+R486+T486+U486+V486+W486+X486+Y486+Z486+AA486+AB486+AC486+AD486+AE486</f>
        <v>6848757.5199999996</v>
      </c>
      <c r="E486" s="31">
        <v>0</v>
      </c>
      <c r="F486" s="31">
        <v>0</v>
      </c>
      <c r="G486" s="31">
        <v>0</v>
      </c>
      <c r="H486" s="31">
        <v>0</v>
      </c>
      <c r="I486" s="31">
        <v>0</v>
      </c>
      <c r="J486" s="31">
        <v>0</v>
      </c>
      <c r="K486" s="33">
        <v>0</v>
      </c>
      <c r="L486" s="31">
        <v>0</v>
      </c>
      <c r="M486" s="31">
        <v>1035.9000000000001</v>
      </c>
      <c r="N486" s="31">
        <v>6629317.75</v>
      </c>
      <c r="O486" s="31">
        <v>0</v>
      </c>
      <c r="P486" s="31">
        <v>0</v>
      </c>
      <c r="Q486" s="31">
        <v>0</v>
      </c>
      <c r="R486" s="31">
        <v>0</v>
      </c>
      <c r="S486" s="31">
        <v>0</v>
      </c>
      <c r="T486" s="31">
        <v>0</v>
      </c>
      <c r="U486" s="31">
        <v>0</v>
      </c>
      <c r="V486" s="31">
        <v>0</v>
      </c>
      <c r="W486" s="31">
        <v>0</v>
      </c>
      <c r="X486" s="31">
        <v>0</v>
      </c>
      <c r="Y486" s="31">
        <v>0</v>
      </c>
      <c r="Z486" s="31">
        <v>0</v>
      </c>
      <c r="AA486" s="31">
        <v>0</v>
      </c>
      <c r="AB486" s="31">
        <v>0</v>
      </c>
      <c r="AC486" s="31">
        <f>ROUND(N486*1.5%,2)</f>
        <v>99439.77</v>
      </c>
      <c r="AD486" s="31">
        <v>120000</v>
      </c>
      <c r="AE486" s="31">
        <v>0</v>
      </c>
      <c r="AF486" s="34">
        <v>2020</v>
      </c>
      <c r="AG486" s="34">
        <v>2020</v>
      </c>
      <c r="AH486" s="35">
        <v>2020</v>
      </c>
      <c r="AT486" s="20" t="e">
        <f>VLOOKUP(C486,AW:AX,2,FALSE)</f>
        <v>#N/A</v>
      </c>
      <c r="BZ486" s="71"/>
      <c r="CD486" s="20">
        <f t="shared" si="91"/>
        <v>1035.9000000000001</v>
      </c>
    </row>
    <row r="487" spans="1:82" ht="61.5" x14ac:dyDescent="0.85">
      <c r="B487" s="24" t="s">
        <v>878</v>
      </c>
      <c r="C487" s="24"/>
      <c r="D487" s="31">
        <f>SUM(D488:D495)</f>
        <v>38327194.07</v>
      </c>
      <c r="E487" s="31">
        <f t="shared" ref="E487:AE487" si="94">SUM(E488:E495)</f>
        <v>0</v>
      </c>
      <c r="F487" s="31">
        <f t="shared" si="94"/>
        <v>0</v>
      </c>
      <c r="G487" s="31">
        <f t="shared" si="94"/>
        <v>3848168.19</v>
      </c>
      <c r="H487" s="31">
        <f t="shared" si="94"/>
        <v>0</v>
      </c>
      <c r="I487" s="31">
        <f t="shared" si="94"/>
        <v>0</v>
      </c>
      <c r="J487" s="31">
        <f t="shared" si="94"/>
        <v>0</v>
      </c>
      <c r="K487" s="33">
        <f t="shared" si="94"/>
        <v>0</v>
      </c>
      <c r="L487" s="31">
        <f t="shared" si="94"/>
        <v>0</v>
      </c>
      <c r="M487" s="31">
        <f t="shared" si="94"/>
        <v>6530.3000000000011</v>
      </c>
      <c r="N487" s="31">
        <f t="shared" si="94"/>
        <v>32536986.219999999</v>
      </c>
      <c r="O487" s="31">
        <f t="shared" si="94"/>
        <v>192</v>
      </c>
      <c r="P487" s="31">
        <f t="shared" si="94"/>
        <v>518485.12</v>
      </c>
      <c r="Q487" s="31">
        <f t="shared" si="94"/>
        <v>0</v>
      </c>
      <c r="R487" s="31">
        <f t="shared" si="94"/>
        <v>0</v>
      </c>
      <c r="S487" s="31">
        <f t="shared" si="94"/>
        <v>0</v>
      </c>
      <c r="T487" s="31">
        <f t="shared" si="94"/>
        <v>0</v>
      </c>
      <c r="U487" s="31">
        <f t="shared" si="94"/>
        <v>0</v>
      </c>
      <c r="V487" s="31">
        <f t="shared" si="94"/>
        <v>0</v>
      </c>
      <c r="W487" s="31">
        <f t="shared" si="94"/>
        <v>0</v>
      </c>
      <c r="X487" s="31">
        <f t="shared" si="94"/>
        <v>0</v>
      </c>
      <c r="Y487" s="31">
        <f t="shared" si="94"/>
        <v>0</v>
      </c>
      <c r="Z487" s="31">
        <f t="shared" si="94"/>
        <v>0</v>
      </c>
      <c r="AA487" s="31">
        <f t="shared" si="94"/>
        <v>0</v>
      </c>
      <c r="AB487" s="31">
        <f t="shared" si="94"/>
        <v>0</v>
      </c>
      <c r="AC487" s="31">
        <f t="shared" si="94"/>
        <v>553554.6</v>
      </c>
      <c r="AD487" s="31">
        <f t="shared" si="94"/>
        <v>749999.94</v>
      </c>
      <c r="AE487" s="31">
        <f t="shared" si="94"/>
        <v>120000</v>
      </c>
      <c r="AF487" s="72" t="s">
        <v>776</v>
      </c>
      <c r="AG487" s="72" t="s">
        <v>776</v>
      </c>
      <c r="AH487" s="89" t="s">
        <v>776</v>
      </c>
      <c r="AT487" s="20" t="e">
        <f>VLOOKUP(C487,AW:AX,2,FALSE)</f>
        <v>#N/A</v>
      </c>
      <c r="BZ487" s="71">
        <v>38327194.07</v>
      </c>
      <c r="CD487" s="20" t="e">
        <f t="shared" si="91"/>
        <v>#N/A</v>
      </c>
    </row>
    <row r="488" spans="1:82" ht="61.5" x14ac:dyDescent="0.85">
      <c r="A488" s="20">
        <v>1</v>
      </c>
      <c r="B488" s="66">
        <f>SUBTOTAL(103,$A$22:A488)</f>
        <v>417</v>
      </c>
      <c r="C488" s="24" t="s">
        <v>138</v>
      </c>
      <c r="D488" s="31">
        <f t="shared" ref="D488:D495" si="95">E488+F488+G488+H488+I488+J488+L488+N488+P488+R488+T488+U488+V488+W488+X488+Y488+Z488+AA488+AB488+AC488+AD488+AE488</f>
        <v>6331416.2400000002</v>
      </c>
      <c r="E488" s="31">
        <v>0</v>
      </c>
      <c r="F488" s="31">
        <v>0</v>
      </c>
      <c r="G488" s="31">
        <v>0</v>
      </c>
      <c r="H488" s="31">
        <v>0</v>
      </c>
      <c r="I488" s="31">
        <v>0</v>
      </c>
      <c r="J488" s="31">
        <v>0</v>
      </c>
      <c r="K488" s="33">
        <v>0</v>
      </c>
      <c r="L488" s="31">
        <v>0</v>
      </c>
      <c r="M488" s="31">
        <v>1062.4000000000001</v>
      </c>
      <c r="N488" s="31">
        <v>6060508.6699999999</v>
      </c>
      <c r="O488" s="31">
        <v>0</v>
      </c>
      <c r="P488" s="31">
        <v>0</v>
      </c>
      <c r="Q488" s="31">
        <v>0</v>
      </c>
      <c r="R488" s="31">
        <v>0</v>
      </c>
      <c r="S488" s="31">
        <v>0</v>
      </c>
      <c r="T488" s="31">
        <v>0</v>
      </c>
      <c r="U488" s="31">
        <v>0</v>
      </c>
      <c r="V488" s="31">
        <v>0</v>
      </c>
      <c r="W488" s="31">
        <v>0</v>
      </c>
      <c r="X488" s="31">
        <v>0</v>
      </c>
      <c r="Y488" s="31">
        <v>0</v>
      </c>
      <c r="Z488" s="31">
        <v>0</v>
      </c>
      <c r="AA488" s="31">
        <v>0</v>
      </c>
      <c r="AB488" s="31">
        <v>0</v>
      </c>
      <c r="AC488" s="31">
        <f t="shared" ref="AC488:AC493" si="96">ROUND(N488*1.5%,2)</f>
        <v>90907.63</v>
      </c>
      <c r="AD488" s="31">
        <f>180000-0.01-0.05</f>
        <v>179999.94</v>
      </c>
      <c r="AE488" s="31">
        <v>0</v>
      </c>
      <c r="AF488" s="34">
        <v>2020</v>
      </c>
      <c r="AG488" s="34">
        <v>2020</v>
      </c>
      <c r="AH488" s="35">
        <v>2020</v>
      </c>
      <c r="AT488" s="20" t="e">
        <f>VLOOKUP(C488,AW:AX,2,FALSE)</f>
        <v>#N/A</v>
      </c>
      <c r="BZ488" s="71"/>
      <c r="CD488" s="20">
        <f t="shared" si="91"/>
        <v>1062.4000000000001</v>
      </c>
    </row>
    <row r="489" spans="1:82" ht="61.5" x14ac:dyDescent="0.85">
      <c r="A489" s="20">
        <v>1</v>
      </c>
      <c r="B489" s="66">
        <f>SUBTOTAL(103,$A$22:A489)</f>
        <v>418</v>
      </c>
      <c r="C489" s="24" t="s">
        <v>140</v>
      </c>
      <c r="D489" s="31">
        <f t="shared" si="95"/>
        <v>2412628.25</v>
      </c>
      <c r="E489" s="31">
        <v>0</v>
      </c>
      <c r="F489" s="31">
        <v>0</v>
      </c>
      <c r="G489" s="31">
        <v>0</v>
      </c>
      <c r="H489" s="31">
        <v>0</v>
      </c>
      <c r="I489" s="31">
        <v>0</v>
      </c>
      <c r="J489" s="31">
        <v>0</v>
      </c>
      <c r="K489" s="33">
        <v>0</v>
      </c>
      <c r="L489" s="31">
        <v>0</v>
      </c>
      <c r="M489" s="31">
        <v>462.03</v>
      </c>
      <c r="N489" s="31">
        <v>2258747.04</v>
      </c>
      <c r="O489" s="31">
        <v>0</v>
      </c>
      <c r="P489" s="31">
        <v>0</v>
      </c>
      <c r="Q489" s="31">
        <v>0</v>
      </c>
      <c r="R489" s="31">
        <v>0</v>
      </c>
      <c r="S489" s="31">
        <v>0</v>
      </c>
      <c r="T489" s="31">
        <v>0</v>
      </c>
      <c r="U489" s="31">
        <v>0</v>
      </c>
      <c r="V489" s="31">
        <v>0</v>
      </c>
      <c r="W489" s="31">
        <v>0</v>
      </c>
      <c r="X489" s="31">
        <v>0</v>
      </c>
      <c r="Y489" s="31">
        <v>0</v>
      </c>
      <c r="Z489" s="31">
        <v>0</v>
      </c>
      <c r="AA489" s="31">
        <v>0</v>
      </c>
      <c r="AB489" s="31">
        <v>0</v>
      </c>
      <c r="AC489" s="31">
        <f t="shared" si="96"/>
        <v>33881.21</v>
      </c>
      <c r="AD489" s="31">
        <v>120000</v>
      </c>
      <c r="AE489" s="31">
        <v>0</v>
      </c>
      <c r="AF489" s="34">
        <v>2020</v>
      </c>
      <c r="AG489" s="34">
        <v>2020</v>
      </c>
      <c r="AH489" s="35">
        <v>2020</v>
      </c>
      <c r="AT489" s="20" t="e">
        <f>VLOOKUP(C489,AW:AX,2,FALSE)</f>
        <v>#N/A</v>
      </c>
      <c r="BZ489" s="71"/>
      <c r="CD489" s="20" t="e">
        <f t="shared" si="91"/>
        <v>#N/A</v>
      </c>
    </row>
    <row r="490" spans="1:82" ht="61.5" x14ac:dyDescent="0.85">
      <c r="A490" s="20">
        <v>1</v>
      </c>
      <c r="B490" s="66">
        <f>SUBTOTAL(103,$A$22:A490)</f>
        <v>419</v>
      </c>
      <c r="C490" s="24" t="s">
        <v>149</v>
      </c>
      <c r="D490" s="31">
        <f t="shared" si="95"/>
        <v>8689284.0800000001</v>
      </c>
      <c r="E490" s="31">
        <v>0</v>
      </c>
      <c r="F490" s="31">
        <v>0</v>
      </c>
      <c r="G490" s="31">
        <v>0</v>
      </c>
      <c r="H490" s="31">
        <v>0</v>
      </c>
      <c r="I490" s="31">
        <v>0</v>
      </c>
      <c r="J490" s="31">
        <v>0</v>
      </c>
      <c r="K490" s="33">
        <v>0</v>
      </c>
      <c r="L490" s="31">
        <v>0</v>
      </c>
      <c r="M490" s="31">
        <v>1664.04</v>
      </c>
      <c r="N490" s="31">
        <v>8383531.1100000003</v>
      </c>
      <c r="O490" s="31">
        <v>0</v>
      </c>
      <c r="P490" s="31">
        <v>0</v>
      </c>
      <c r="Q490" s="31">
        <v>0</v>
      </c>
      <c r="R490" s="31">
        <v>0</v>
      </c>
      <c r="S490" s="31">
        <v>0</v>
      </c>
      <c r="T490" s="31">
        <v>0</v>
      </c>
      <c r="U490" s="31">
        <v>0</v>
      </c>
      <c r="V490" s="31">
        <v>0</v>
      </c>
      <c r="W490" s="31">
        <v>0</v>
      </c>
      <c r="X490" s="31">
        <v>0</v>
      </c>
      <c r="Y490" s="31">
        <v>0</v>
      </c>
      <c r="Z490" s="31">
        <v>0</v>
      </c>
      <c r="AA490" s="31">
        <v>0</v>
      </c>
      <c r="AB490" s="31">
        <v>0</v>
      </c>
      <c r="AC490" s="31">
        <f t="shared" si="96"/>
        <v>125752.97</v>
      </c>
      <c r="AD490" s="31">
        <v>180000</v>
      </c>
      <c r="AE490" s="31">
        <v>0</v>
      </c>
      <c r="AF490" s="34">
        <v>2020</v>
      </c>
      <c r="AG490" s="34">
        <v>2020</v>
      </c>
      <c r="AH490" s="35">
        <v>2020</v>
      </c>
      <c r="AT490" s="20" t="e">
        <f>VLOOKUP(C490,AW$490:AX$490,2,FALSE)</f>
        <v>#N/A</v>
      </c>
      <c r="BZ490" s="71"/>
      <c r="CD490" s="20" t="e">
        <f t="shared" si="91"/>
        <v>#N/A</v>
      </c>
    </row>
    <row r="491" spans="1:82" ht="61.5" x14ac:dyDescent="0.85">
      <c r="A491" s="20">
        <v>1</v>
      </c>
      <c r="B491" s="66">
        <f>SUBTOTAL(103,$A$22:A491)</f>
        <v>420</v>
      </c>
      <c r="C491" s="24" t="s">
        <v>1289</v>
      </c>
      <c r="D491" s="31">
        <f t="shared" si="95"/>
        <v>4735462.9799999995</v>
      </c>
      <c r="E491" s="31">
        <v>0</v>
      </c>
      <c r="F491" s="31">
        <v>0</v>
      </c>
      <c r="G491" s="31">
        <v>0</v>
      </c>
      <c r="H491" s="31">
        <v>0</v>
      </c>
      <c r="I491" s="31">
        <v>0</v>
      </c>
      <c r="J491" s="31">
        <v>0</v>
      </c>
      <c r="K491" s="33">
        <v>0</v>
      </c>
      <c r="L491" s="31">
        <v>0</v>
      </c>
      <c r="M491" s="31">
        <v>1105</v>
      </c>
      <c r="N491" s="31">
        <v>4517697.5199999996</v>
      </c>
      <c r="O491" s="31">
        <v>0</v>
      </c>
      <c r="P491" s="31">
        <v>0</v>
      </c>
      <c r="Q491" s="31">
        <v>0</v>
      </c>
      <c r="R491" s="31">
        <v>0</v>
      </c>
      <c r="S491" s="31">
        <v>0</v>
      </c>
      <c r="T491" s="31">
        <v>0</v>
      </c>
      <c r="U491" s="31">
        <v>0</v>
      </c>
      <c r="V491" s="31">
        <v>0</v>
      </c>
      <c r="W491" s="31">
        <v>0</v>
      </c>
      <c r="X491" s="31">
        <v>0</v>
      </c>
      <c r="Y491" s="31">
        <v>0</v>
      </c>
      <c r="Z491" s="31">
        <v>0</v>
      </c>
      <c r="AA491" s="31">
        <v>0</v>
      </c>
      <c r="AB491" s="31">
        <v>0</v>
      </c>
      <c r="AC491" s="31">
        <f t="shared" si="96"/>
        <v>67765.460000000006</v>
      </c>
      <c r="AD491" s="31">
        <v>30000</v>
      </c>
      <c r="AE491" s="31">
        <v>120000</v>
      </c>
      <c r="AF491" s="34">
        <v>2020</v>
      </c>
      <c r="AG491" s="34">
        <v>2020</v>
      </c>
      <c r="AH491" s="35">
        <v>2020</v>
      </c>
      <c r="BZ491" s="71"/>
      <c r="CD491" s="20">
        <f t="shared" si="91"/>
        <v>1105</v>
      </c>
    </row>
    <row r="492" spans="1:82" ht="61.5" x14ac:dyDescent="0.85">
      <c r="A492" s="20">
        <v>1</v>
      </c>
      <c r="B492" s="66">
        <f>SUBTOTAL(103,$A$22:A492)</f>
        <v>421</v>
      </c>
      <c r="C492" s="24" t="s">
        <v>1290</v>
      </c>
      <c r="D492" s="31">
        <f t="shared" si="95"/>
        <v>4455121.7300000004</v>
      </c>
      <c r="E492" s="31">
        <v>0</v>
      </c>
      <c r="F492" s="31">
        <v>0</v>
      </c>
      <c r="G492" s="31">
        <v>0</v>
      </c>
      <c r="H492" s="31">
        <v>0</v>
      </c>
      <c r="I492" s="31">
        <v>0</v>
      </c>
      <c r="J492" s="31">
        <v>0</v>
      </c>
      <c r="K492" s="33">
        <v>0</v>
      </c>
      <c r="L492" s="31">
        <v>0</v>
      </c>
      <c r="M492" s="31">
        <v>835.43</v>
      </c>
      <c r="N492" s="31">
        <v>4389282.49</v>
      </c>
      <c r="O492" s="31">
        <v>0</v>
      </c>
      <c r="P492" s="31">
        <v>0</v>
      </c>
      <c r="Q492" s="31">
        <v>0</v>
      </c>
      <c r="R492" s="31">
        <v>0</v>
      </c>
      <c r="S492" s="31">
        <v>0</v>
      </c>
      <c r="T492" s="31">
        <v>0</v>
      </c>
      <c r="U492" s="31">
        <v>0</v>
      </c>
      <c r="V492" s="31">
        <v>0</v>
      </c>
      <c r="W492" s="31">
        <v>0</v>
      </c>
      <c r="X492" s="31">
        <v>0</v>
      </c>
      <c r="Y492" s="31">
        <v>0</v>
      </c>
      <c r="Z492" s="31">
        <v>0</v>
      </c>
      <c r="AA492" s="31">
        <v>0</v>
      </c>
      <c r="AB492" s="31">
        <v>0</v>
      </c>
      <c r="AC492" s="31">
        <f t="shared" si="96"/>
        <v>65839.240000000005</v>
      </c>
      <c r="AD492" s="31">
        <v>0</v>
      </c>
      <c r="AE492" s="31">
        <v>0</v>
      </c>
      <c r="AF492" s="34" t="s">
        <v>274</v>
      </c>
      <c r="AG492" s="34">
        <v>2020</v>
      </c>
      <c r="AH492" s="35">
        <v>2020</v>
      </c>
      <c r="BZ492" s="71"/>
      <c r="CD492" s="20">
        <f t="shared" si="91"/>
        <v>835.43</v>
      </c>
    </row>
    <row r="493" spans="1:82" ht="61.5" x14ac:dyDescent="0.85">
      <c r="A493" s="20">
        <v>1</v>
      </c>
      <c r="B493" s="66">
        <f>SUBTOTAL(103,$A$22:A493)</f>
        <v>422</v>
      </c>
      <c r="C493" s="24" t="s">
        <v>1291</v>
      </c>
      <c r="D493" s="31">
        <f t="shared" si="95"/>
        <v>7031127.6799999997</v>
      </c>
      <c r="E493" s="31">
        <v>0</v>
      </c>
      <c r="F493" s="31">
        <v>0</v>
      </c>
      <c r="G493" s="31">
        <v>0</v>
      </c>
      <c r="H493" s="31">
        <v>0</v>
      </c>
      <c r="I493" s="31">
        <v>0</v>
      </c>
      <c r="J493" s="31">
        <v>0</v>
      </c>
      <c r="K493" s="33">
        <v>0</v>
      </c>
      <c r="L493" s="31">
        <v>0</v>
      </c>
      <c r="M493" s="31">
        <v>1401.4</v>
      </c>
      <c r="N493" s="31">
        <f>6898654.81+28564.58</f>
        <v>6927219.3899999997</v>
      </c>
      <c r="O493" s="31">
        <v>0</v>
      </c>
      <c r="P493" s="31">
        <v>0</v>
      </c>
      <c r="Q493" s="31">
        <v>0</v>
      </c>
      <c r="R493" s="31">
        <v>0</v>
      </c>
      <c r="S493" s="31">
        <v>0</v>
      </c>
      <c r="T493" s="31">
        <v>0</v>
      </c>
      <c r="U493" s="31">
        <v>0</v>
      </c>
      <c r="V493" s="31">
        <v>0</v>
      </c>
      <c r="W493" s="31">
        <v>0</v>
      </c>
      <c r="X493" s="31">
        <v>0</v>
      </c>
      <c r="Y493" s="31">
        <v>0</v>
      </c>
      <c r="Z493" s="31">
        <v>0</v>
      </c>
      <c r="AA493" s="31">
        <v>0</v>
      </c>
      <c r="AB493" s="31">
        <v>0</v>
      </c>
      <c r="AC493" s="31">
        <f t="shared" si="96"/>
        <v>103908.29</v>
      </c>
      <c r="AD493" s="31">
        <v>0</v>
      </c>
      <c r="AE493" s="31">
        <v>0</v>
      </c>
      <c r="AF493" s="34" t="s">
        <v>274</v>
      </c>
      <c r="AG493" s="34">
        <v>2020</v>
      </c>
      <c r="AH493" s="35">
        <v>2020</v>
      </c>
      <c r="BZ493" s="71"/>
      <c r="CD493" s="20">
        <f t="shared" si="91"/>
        <v>1401.4</v>
      </c>
    </row>
    <row r="494" spans="1:82" ht="61.5" x14ac:dyDescent="0.85">
      <c r="A494" s="20">
        <v>1</v>
      </c>
      <c r="B494" s="66">
        <f>SUBTOTAL(103,$A$22:A494)</f>
        <v>423</v>
      </c>
      <c r="C494" s="24" t="s">
        <v>170</v>
      </c>
      <c r="D494" s="31">
        <f t="shared" si="95"/>
        <v>646262.4</v>
      </c>
      <c r="E494" s="31">
        <v>0</v>
      </c>
      <c r="F494" s="31">
        <v>0</v>
      </c>
      <c r="G494" s="31">
        <v>0</v>
      </c>
      <c r="H494" s="31">
        <v>0</v>
      </c>
      <c r="I494" s="31">
        <v>0</v>
      </c>
      <c r="J494" s="31">
        <v>0</v>
      </c>
      <c r="K494" s="33">
        <v>0</v>
      </c>
      <c r="L494" s="31">
        <v>0</v>
      </c>
      <c r="M494" s="31">
        <v>0</v>
      </c>
      <c r="N494" s="31">
        <v>0</v>
      </c>
      <c r="O494" s="31">
        <v>192</v>
      </c>
      <c r="P494" s="31">
        <v>518485.12</v>
      </c>
      <c r="Q494" s="31">
        <v>0</v>
      </c>
      <c r="R494" s="31">
        <v>0</v>
      </c>
      <c r="S494" s="31">
        <v>0</v>
      </c>
      <c r="T494" s="31">
        <v>0</v>
      </c>
      <c r="U494" s="31">
        <v>0</v>
      </c>
      <c r="V494" s="31">
        <v>0</v>
      </c>
      <c r="W494" s="31">
        <v>0</v>
      </c>
      <c r="X494" s="31">
        <v>0</v>
      </c>
      <c r="Y494" s="31">
        <v>0</v>
      </c>
      <c r="Z494" s="31">
        <v>0</v>
      </c>
      <c r="AA494" s="31">
        <v>0</v>
      </c>
      <c r="AB494" s="31">
        <v>0</v>
      </c>
      <c r="AC494" s="31">
        <f>ROUND(P494*1.5%,2)</f>
        <v>7777.28</v>
      </c>
      <c r="AD494" s="31">
        <v>120000</v>
      </c>
      <c r="AE494" s="31">
        <v>0</v>
      </c>
      <c r="AF494" s="34">
        <v>2020</v>
      </c>
      <c r="AG494" s="34">
        <v>2020</v>
      </c>
      <c r="AH494" s="35">
        <v>2020</v>
      </c>
      <c r="AT494" s="20" t="e">
        <f>VLOOKUP(C494,AW:AX,2,FALSE)</f>
        <v>#N/A</v>
      </c>
      <c r="BZ494" s="71"/>
      <c r="CD494" s="20" t="e">
        <f t="shared" si="91"/>
        <v>#N/A</v>
      </c>
    </row>
    <row r="495" spans="1:82" ht="61.5" x14ac:dyDescent="0.85">
      <c r="A495" s="20">
        <v>1</v>
      </c>
      <c r="B495" s="66">
        <f>SUBTOTAL(103,$A$22:A495)</f>
        <v>424</v>
      </c>
      <c r="C495" s="24" t="s">
        <v>1313</v>
      </c>
      <c r="D495" s="31">
        <f t="shared" si="95"/>
        <v>4025890.71</v>
      </c>
      <c r="E495" s="31">
        <v>0</v>
      </c>
      <c r="F495" s="31">
        <v>0</v>
      </c>
      <c r="G495" s="31">
        <f>3966394.79-118226.6</f>
        <v>3848168.19</v>
      </c>
      <c r="H495" s="31">
        <v>0</v>
      </c>
      <c r="I495" s="31">
        <v>0</v>
      </c>
      <c r="J495" s="31">
        <v>0</v>
      </c>
      <c r="K495" s="33">
        <v>0</v>
      </c>
      <c r="L495" s="31">
        <v>0</v>
      </c>
      <c r="M495" s="90">
        <v>0</v>
      </c>
      <c r="N495" s="90">
        <v>0</v>
      </c>
      <c r="O495" s="31">
        <v>0</v>
      </c>
      <c r="P495" s="31">
        <v>0</v>
      </c>
      <c r="Q495" s="31">
        <v>0</v>
      </c>
      <c r="R495" s="31">
        <v>0</v>
      </c>
      <c r="S495" s="31">
        <v>0</v>
      </c>
      <c r="T495" s="31">
        <v>0</v>
      </c>
      <c r="U495" s="31">
        <v>0</v>
      </c>
      <c r="V495" s="31">
        <v>0</v>
      </c>
      <c r="W495" s="31">
        <v>0</v>
      </c>
      <c r="X495" s="31">
        <v>0</v>
      </c>
      <c r="Y495" s="31">
        <v>0</v>
      </c>
      <c r="Z495" s="31">
        <v>0</v>
      </c>
      <c r="AA495" s="31">
        <v>0</v>
      </c>
      <c r="AB495" s="31">
        <v>0</v>
      </c>
      <c r="AC495" s="31">
        <f>ROUND((E495+F495+G495+H495+I495+J495)*1.5%,2)</f>
        <v>57722.52</v>
      </c>
      <c r="AD495" s="31">
        <v>120000</v>
      </c>
      <c r="AE495" s="31">
        <v>0</v>
      </c>
      <c r="AF495" s="34">
        <v>2020</v>
      </c>
      <c r="AG495" s="34">
        <v>2020</v>
      </c>
      <c r="AH495" s="35">
        <v>2020</v>
      </c>
      <c r="BZ495" s="71"/>
      <c r="CD495" s="20" t="e">
        <f t="shared" si="91"/>
        <v>#N/A</v>
      </c>
    </row>
    <row r="496" spans="1:82" ht="61.5" x14ac:dyDescent="0.85">
      <c r="B496" s="24" t="s">
        <v>1287</v>
      </c>
      <c r="C496" s="24"/>
      <c r="D496" s="31">
        <f>D497</f>
        <v>2298882.5099999998</v>
      </c>
      <c r="E496" s="31">
        <f t="shared" ref="E496:AE496" si="97">E497</f>
        <v>0</v>
      </c>
      <c r="F496" s="31">
        <f t="shared" si="97"/>
        <v>0</v>
      </c>
      <c r="G496" s="31">
        <f t="shared" si="97"/>
        <v>0</v>
      </c>
      <c r="H496" s="31">
        <f t="shared" si="97"/>
        <v>0</v>
      </c>
      <c r="I496" s="31">
        <f t="shared" si="97"/>
        <v>0</v>
      </c>
      <c r="J496" s="31">
        <f t="shared" si="97"/>
        <v>0</v>
      </c>
      <c r="K496" s="33">
        <f t="shared" si="97"/>
        <v>0</v>
      </c>
      <c r="L496" s="31">
        <f t="shared" si="97"/>
        <v>0</v>
      </c>
      <c r="M496" s="31">
        <f t="shared" si="97"/>
        <v>467.74</v>
      </c>
      <c r="N496" s="31">
        <f t="shared" si="97"/>
        <v>2264908.88</v>
      </c>
      <c r="O496" s="31">
        <f t="shared" si="97"/>
        <v>0</v>
      </c>
      <c r="P496" s="31">
        <f t="shared" si="97"/>
        <v>0</v>
      </c>
      <c r="Q496" s="31">
        <f t="shared" si="97"/>
        <v>0</v>
      </c>
      <c r="R496" s="31">
        <f t="shared" si="97"/>
        <v>0</v>
      </c>
      <c r="S496" s="31">
        <f t="shared" si="97"/>
        <v>0</v>
      </c>
      <c r="T496" s="31">
        <f t="shared" si="97"/>
        <v>0</v>
      </c>
      <c r="U496" s="31">
        <f t="shared" si="97"/>
        <v>0</v>
      </c>
      <c r="V496" s="31">
        <f t="shared" si="97"/>
        <v>0</v>
      </c>
      <c r="W496" s="31">
        <f t="shared" si="97"/>
        <v>0</v>
      </c>
      <c r="X496" s="31">
        <f t="shared" si="97"/>
        <v>0</v>
      </c>
      <c r="Y496" s="31">
        <f t="shared" si="97"/>
        <v>0</v>
      </c>
      <c r="Z496" s="31">
        <f t="shared" si="97"/>
        <v>0</v>
      </c>
      <c r="AA496" s="31">
        <f t="shared" si="97"/>
        <v>0</v>
      </c>
      <c r="AB496" s="31">
        <f t="shared" si="97"/>
        <v>0</v>
      </c>
      <c r="AC496" s="31">
        <f t="shared" si="97"/>
        <v>33973.629999999997</v>
      </c>
      <c r="AD496" s="31">
        <f t="shared" si="97"/>
        <v>0</v>
      </c>
      <c r="AE496" s="31">
        <f t="shared" si="97"/>
        <v>0</v>
      </c>
      <c r="AF496" s="72" t="s">
        <v>776</v>
      </c>
      <c r="AG496" s="72" t="s">
        <v>776</v>
      </c>
      <c r="AH496" s="89" t="s">
        <v>776</v>
      </c>
      <c r="BZ496" s="71">
        <v>2298882.5099999998</v>
      </c>
      <c r="CD496" s="20" t="e">
        <f t="shared" si="91"/>
        <v>#N/A</v>
      </c>
    </row>
    <row r="497" spans="1:83" ht="61.5" x14ac:dyDescent="0.85">
      <c r="A497" s="20">
        <v>1</v>
      </c>
      <c r="B497" s="66">
        <f>SUBTOTAL(103,$A$22:A497)</f>
        <v>425</v>
      </c>
      <c r="C497" s="24" t="s">
        <v>1288</v>
      </c>
      <c r="D497" s="31">
        <f>E497+F497+G497+H497+I497+J497+L497+N497+P497+R497+T497+U497+V497+W497+X497+Y497+Z497+AA497+AB497+AC497+AD497+AE497</f>
        <v>2298882.5099999998</v>
      </c>
      <c r="E497" s="31">
        <v>0</v>
      </c>
      <c r="F497" s="31">
        <v>0</v>
      </c>
      <c r="G497" s="31">
        <v>0</v>
      </c>
      <c r="H497" s="31">
        <v>0</v>
      </c>
      <c r="I497" s="31">
        <v>0</v>
      </c>
      <c r="J497" s="31">
        <v>0</v>
      </c>
      <c r="K497" s="33">
        <v>0</v>
      </c>
      <c r="L497" s="31">
        <v>0</v>
      </c>
      <c r="M497" s="31">
        <v>467.74</v>
      </c>
      <c r="N497" s="31">
        <f>1772494.39+492414.49</f>
        <v>2264908.88</v>
      </c>
      <c r="O497" s="31">
        <v>0</v>
      </c>
      <c r="P497" s="31">
        <v>0</v>
      </c>
      <c r="Q497" s="31">
        <v>0</v>
      </c>
      <c r="R497" s="31">
        <v>0</v>
      </c>
      <c r="S497" s="31">
        <v>0</v>
      </c>
      <c r="T497" s="31">
        <v>0</v>
      </c>
      <c r="U497" s="31">
        <v>0</v>
      </c>
      <c r="V497" s="31">
        <v>0</v>
      </c>
      <c r="W497" s="31">
        <v>0</v>
      </c>
      <c r="X497" s="31">
        <v>0</v>
      </c>
      <c r="Y497" s="31">
        <v>0</v>
      </c>
      <c r="Z497" s="31">
        <v>0</v>
      </c>
      <c r="AA497" s="31">
        <v>0</v>
      </c>
      <c r="AB497" s="31">
        <v>0</v>
      </c>
      <c r="AC497" s="31">
        <f>ROUND(N497*1.5%,2)</f>
        <v>33973.629999999997</v>
      </c>
      <c r="AD497" s="31">
        <v>0</v>
      </c>
      <c r="AE497" s="31">
        <v>0</v>
      </c>
      <c r="AF497" s="34" t="s">
        <v>274</v>
      </c>
      <c r="AG497" s="34">
        <v>2020</v>
      </c>
      <c r="AH497" s="35">
        <v>2020</v>
      </c>
      <c r="BZ497" s="71"/>
      <c r="CD497" s="20">
        <f t="shared" si="91"/>
        <v>467.74</v>
      </c>
    </row>
    <row r="498" spans="1:83" ht="61.5" x14ac:dyDescent="0.85">
      <c r="B498" s="24" t="s">
        <v>1077</v>
      </c>
      <c r="C498" s="24"/>
      <c r="D498" s="31">
        <f>D499</f>
        <v>467593.97</v>
      </c>
      <c r="E498" s="31">
        <f t="shared" ref="E498:AE498" si="98">E499</f>
        <v>0</v>
      </c>
      <c r="F498" s="31">
        <f t="shared" si="98"/>
        <v>0</v>
      </c>
      <c r="G498" s="31">
        <f t="shared" si="98"/>
        <v>0</v>
      </c>
      <c r="H498" s="31">
        <f t="shared" si="98"/>
        <v>0</v>
      </c>
      <c r="I498" s="31">
        <f t="shared" si="98"/>
        <v>0</v>
      </c>
      <c r="J498" s="31">
        <f t="shared" si="98"/>
        <v>0</v>
      </c>
      <c r="K498" s="33">
        <f t="shared" si="98"/>
        <v>0</v>
      </c>
      <c r="L498" s="31">
        <f t="shared" si="98"/>
        <v>0</v>
      </c>
      <c r="M498" s="31">
        <f t="shared" si="98"/>
        <v>0</v>
      </c>
      <c r="N498" s="31">
        <f t="shared" si="98"/>
        <v>0</v>
      </c>
      <c r="O498" s="31">
        <f t="shared" si="98"/>
        <v>0</v>
      </c>
      <c r="P498" s="31">
        <f t="shared" si="98"/>
        <v>0</v>
      </c>
      <c r="Q498" s="31">
        <f t="shared" si="98"/>
        <v>119.3</v>
      </c>
      <c r="R498" s="31">
        <f t="shared" si="98"/>
        <v>362161.55</v>
      </c>
      <c r="S498" s="31">
        <f t="shared" si="98"/>
        <v>0</v>
      </c>
      <c r="T498" s="31">
        <f t="shared" si="98"/>
        <v>0</v>
      </c>
      <c r="U498" s="31">
        <f t="shared" si="98"/>
        <v>0</v>
      </c>
      <c r="V498" s="31">
        <f t="shared" si="98"/>
        <v>0</v>
      </c>
      <c r="W498" s="31">
        <f t="shared" si="98"/>
        <v>0</v>
      </c>
      <c r="X498" s="31">
        <f t="shared" si="98"/>
        <v>0</v>
      </c>
      <c r="Y498" s="31">
        <f t="shared" si="98"/>
        <v>0</v>
      </c>
      <c r="Z498" s="31">
        <f t="shared" si="98"/>
        <v>0</v>
      </c>
      <c r="AA498" s="31">
        <f t="shared" si="98"/>
        <v>0</v>
      </c>
      <c r="AB498" s="31">
        <f t="shared" si="98"/>
        <v>0</v>
      </c>
      <c r="AC498" s="31">
        <f t="shared" si="98"/>
        <v>5432.42</v>
      </c>
      <c r="AD498" s="31">
        <f t="shared" si="98"/>
        <v>100000</v>
      </c>
      <c r="AE498" s="31">
        <f t="shared" si="98"/>
        <v>0</v>
      </c>
      <c r="AF498" s="72" t="s">
        <v>776</v>
      </c>
      <c r="AG498" s="72" t="s">
        <v>776</v>
      </c>
      <c r="AH498" s="89" t="s">
        <v>776</v>
      </c>
      <c r="BZ498" s="71">
        <v>467593.97</v>
      </c>
      <c r="CD498" s="20" t="e">
        <f t="shared" si="91"/>
        <v>#N/A</v>
      </c>
    </row>
    <row r="499" spans="1:83" ht="61.5" x14ac:dyDescent="0.85">
      <c r="A499" s="20">
        <v>1</v>
      </c>
      <c r="B499" s="66">
        <f>SUBTOTAL(103,$A$22:A499)</f>
        <v>426</v>
      </c>
      <c r="C499" s="24" t="s">
        <v>1065</v>
      </c>
      <c r="D499" s="31">
        <f>E499+F499+G499+H499+I499+J499+L499+N499+P499+R499+T499+U499+V499+W499+X499+Y499+Z499+AA499+AB499+AC499+AD499+AE499</f>
        <v>467593.97</v>
      </c>
      <c r="E499" s="31">
        <v>0</v>
      </c>
      <c r="F499" s="31">
        <v>0</v>
      </c>
      <c r="G499" s="31">
        <v>0</v>
      </c>
      <c r="H499" s="31">
        <v>0</v>
      </c>
      <c r="I499" s="31">
        <v>0</v>
      </c>
      <c r="J499" s="31">
        <v>0</v>
      </c>
      <c r="K499" s="33">
        <v>0</v>
      </c>
      <c r="L499" s="31">
        <v>0</v>
      </c>
      <c r="M499" s="31">
        <v>0</v>
      </c>
      <c r="N499" s="31">
        <v>0</v>
      </c>
      <c r="O499" s="31">
        <v>0</v>
      </c>
      <c r="P499" s="31">
        <v>0</v>
      </c>
      <c r="Q499" s="31">
        <v>119.3</v>
      </c>
      <c r="R499" s="31">
        <f>362161.55</f>
        <v>362161.55</v>
      </c>
      <c r="S499" s="31">
        <v>0</v>
      </c>
      <c r="T499" s="31">
        <v>0</v>
      </c>
      <c r="U499" s="31">
        <v>0</v>
      </c>
      <c r="V499" s="31">
        <v>0</v>
      </c>
      <c r="W499" s="31">
        <v>0</v>
      </c>
      <c r="X499" s="31">
        <v>0</v>
      </c>
      <c r="Y499" s="31">
        <v>0</v>
      </c>
      <c r="Z499" s="31">
        <v>0</v>
      </c>
      <c r="AA499" s="31">
        <v>0</v>
      </c>
      <c r="AB499" s="31">
        <v>0</v>
      </c>
      <c r="AC499" s="31">
        <f>ROUND(R499*1.5%,2)</f>
        <v>5432.42</v>
      </c>
      <c r="AD499" s="31">
        <v>100000</v>
      </c>
      <c r="AE499" s="31">
        <v>0</v>
      </c>
      <c r="AF499" s="34">
        <v>2020</v>
      </c>
      <c r="AG499" s="34">
        <v>2020</v>
      </c>
      <c r="AH499" s="35">
        <v>2020</v>
      </c>
      <c r="BZ499" s="71"/>
      <c r="CD499" s="20" t="e">
        <f t="shared" si="91"/>
        <v>#N/A</v>
      </c>
    </row>
    <row r="500" spans="1:83" ht="61.5" x14ac:dyDescent="0.85">
      <c r="B500" s="24" t="s">
        <v>879</v>
      </c>
      <c r="C500" s="166"/>
      <c r="D500" s="31">
        <f>SUM(D501:D505)</f>
        <v>10671208.33</v>
      </c>
      <c r="E500" s="31">
        <f t="shared" ref="E500:AE500" si="99">SUM(E501:E505)</f>
        <v>0</v>
      </c>
      <c r="F500" s="31">
        <f t="shared" si="99"/>
        <v>0</v>
      </c>
      <c r="G500" s="31">
        <f t="shared" si="99"/>
        <v>0</v>
      </c>
      <c r="H500" s="31">
        <f t="shared" si="99"/>
        <v>0</v>
      </c>
      <c r="I500" s="31">
        <f t="shared" si="99"/>
        <v>0</v>
      </c>
      <c r="J500" s="31">
        <f t="shared" si="99"/>
        <v>0</v>
      </c>
      <c r="K500" s="33">
        <f t="shared" si="99"/>
        <v>0</v>
      </c>
      <c r="L500" s="31">
        <f t="shared" si="99"/>
        <v>0</v>
      </c>
      <c r="M500" s="31">
        <f t="shared" si="99"/>
        <v>1375</v>
      </c>
      <c r="N500" s="31">
        <f t="shared" si="99"/>
        <v>5601125.1699999999</v>
      </c>
      <c r="O500" s="31">
        <f t="shared" si="99"/>
        <v>0</v>
      </c>
      <c r="P500" s="31">
        <f t="shared" si="99"/>
        <v>0</v>
      </c>
      <c r="Q500" s="31">
        <f t="shared" si="99"/>
        <v>1309.95</v>
      </c>
      <c r="R500" s="31">
        <f t="shared" si="99"/>
        <v>4705395.33</v>
      </c>
      <c r="S500" s="31">
        <f t="shared" si="99"/>
        <v>0</v>
      </c>
      <c r="T500" s="31">
        <f t="shared" si="99"/>
        <v>0</v>
      </c>
      <c r="U500" s="31">
        <f t="shared" si="99"/>
        <v>0</v>
      </c>
      <c r="V500" s="31">
        <f t="shared" si="99"/>
        <v>0</v>
      </c>
      <c r="W500" s="31">
        <f t="shared" si="99"/>
        <v>0</v>
      </c>
      <c r="X500" s="31">
        <f t="shared" si="99"/>
        <v>0</v>
      </c>
      <c r="Y500" s="31">
        <f t="shared" si="99"/>
        <v>0</v>
      </c>
      <c r="Z500" s="31">
        <f t="shared" si="99"/>
        <v>0</v>
      </c>
      <c r="AA500" s="31">
        <f t="shared" si="99"/>
        <v>0</v>
      </c>
      <c r="AB500" s="31">
        <f t="shared" si="99"/>
        <v>0</v>
      </c>
      <c r="AC500" s="31">
        <f t="shared" si="99"/>
        <v>154597.81</v>
      </c>
      <c r="AD500" s="31">
        <f t="shared" si="99"/>
        <v>90090.02</v>
      </c>
      <c r="AE500" s="31">
        <f t="shared" si="99"/>
        <v>120000</v>
      </c>
      <c r="AF500" s="72" t="s">
        <v>776</v>
      </c>
      <c r="AG500" s="72" t="s">
        <v>776</v>
      </c>
      <c r="AH500" s="89" t="s">
        <v>776</v>
      </c>
      <c r="AT500" s="20" t="e">
        <f>VLOOKUP(C500,AW:AX,2,FALSE)</f>
        <v>#N/A</v>
      </c>
      <c r="BZ500" s="71">
        <v>11081040.970000001</v>
      </c>
      <c r="CB500" s="71">
        <f>BZ500-D500</f>
        <v>409832.6400000006</v>
      </c>
      <c r="CC500" s="31">
        <v>10960961.029999999</v>
      </c>
      <c r="CD500" s="20" t="e">
        <f t="shared" si="91"/>
        <v>#N/A</v>
      </c>
      <c r="CE500" s="31">
        <f>CC500-D500</f>
        <v>289752.69999999925</v>
      </c>
    </row>
    <row r="501" spans="1:83" ht="61.5" x14ac:dyDescent="0.85">
      <c r="A501" s="20">
        <v>1</v>
      </c>
      <c r="B501" s="66">
        <f>SUBTOTAL(103,$A$22:A501)</f>
        <v>427</v>
      </c>
      <c r="C501" s="24" t="s">
        <v>90</v>
      </c>
      <c r="D501" s="31">
        <f>E501+F501+G501+H501+I501+J501+L501+N501+P501+R501+T501+U501+V501+W501+X501+Y501+Z501+AA501+AB501+AC501+AD501+AE501</f>
        <v>2314656.7600000002</v>
      </c>
      <c r="E501" s="31">
        <v>0</v>
      </c>
      <c r="F501" s="31">
        <v>0</v>
      </c>
      <c r="G501" s="31">
        <v>0</v>
      </c>
      <c r="H501" s="31">
        <v>0</v>
      </c>
      <c r="I501" s="31">
        <v>0</v>
      </c>
      <c r="J501" s="31">
        <v>0</v>
      </c>
      <c r="K501" s="33">
        <v>0</v>
      </c>
      <c r="L501" s="31">
        <v>0</v>
      </c>
      <c r="M501" s="31">
        <v>426</v>
      </c>
      <c r="N501" s="31">
        <f>2073386.01+118305.36</f>
        <v>2191691.37</v>
      </c>
      <c r="O501" s="31">
        <v>0</v>
      </c>
      <c r="P501" s="31">
        <v>0</v>
      </c>
      <c r="Q501" s="31">
        <v>0</v>
      </c>
      <c r="R501" s="31">
        <v>0</v>
      </c>
      <c r="S501" s="31">
        <v>0</v>
      </c>
      <c r="T501" s="31">
        <v>0</v>
      </c>
      <c r="U501" s="31">
        <v>0</v>
      </c>
      <c r="V501" s="31">
        <v>0</v>
      </c>
      <c r="W501" s="31">
        <v>0</v>
      </c>
      <c r="X501" s="31">
        <v>0</v>
      </c>
      <c r="Y501" s="31">
        <v>0</v>
      </c>
      <c r="Z501" s="31">
        <v>0</v>
      </c>
      <c r="AA501" s="31">
        <v>0</v>
      </c>
      <c r="AB501" s="31">
        <v>0</v>
      </c>
      <c r="AC501" s="31">
        <f>ROUND(N501*1.5%,2)</f>
        <v>32875.370000000003</v>
      </c>
      <c r="AD501" s="31">
        <v>90090.02</v>
      </c>
      <c r="AE501" s="31">
        <v>0</v>
      </c>
      <c r="AF501" s="34">
        <v>2020</v>
      </c>
      <c r="AG501" s="34">
        <v>2020</v>
      </c>
      <c r="AH501" s="35">
        <v>2020</v>
      </c>
      <c r="AT501" s="20" t="e">
        <f>VLOOKUP(C501,AW:AX,2,FALSE)</f>
        <v>#N/A</v>
      </c>
      <c r="BZ501" s="71"/>
      <c r="CD501" s="20" t="e">
        <f t="shared" si="91"/>
        <v>#N/A</v>
      </c>
    </row>
    <row r="502" spans="1:83" ht="61.5" x14ac:dyDescent="0.85">
      <c r="A502" s="20">
        <v>1</v>
      </c>
      <c r="B502" s="66">
        <f>SUBTOTAL(103,$A$22:A502)</f>
        <v>428</v>
      </c>
      <c r="C502" s="24" t="s">
        <v>91</v>
      </c>
      <c r="D502" s="31">
        <f>E502+F502+G502+H502+I502+J502+L502+N502+P502+R502+T502+U502+V502+W502+X502+Y502+Z502+AA502+AB502+AC502+AD502+AE502</f>
        <v>2027380.1</v>
      </c>
      <c r="E502" s="31">
        <v>0</v>
      </c>
      <c r="F502" s="31">
        <v>0</v>
      </c>
      <c r="G502" s="31">
        <v>0</v>
      </c>
      <c r="H502" s="31">
        <v>0</v>
      </c>
      <c r="I502" s="31">
        <v>0</v>
      </c>
      <c r="J502" s="31">
        <v>0</v>
      </c>
      <c r="K502" s="33">
        <v>0</v>
      </c>
      <c r="L502" s="31">
        <v>0</v>
      </c>
      <c r="M502" s="31">
        <v>0</v>
      </c>
      <c r="N502" s="31">
        <v>0</v>
      </c>
      <c r="O502" s="31">
        <v>0</v>
      </c>
      <c r="P502" s="31">
        <v>0</v>
      </c>
      <c r="Q502" s="31">
        <v>142.1</v>
      </c>
      <c r="R502" s="31">
        <v>1997418.82</v>
      </c>
      <c r="S502" s="31">
        <v>0</v>
      </c>
      <c r="T502" s="31">
        <v>0</v>
      </c>
      <c r="U502" s="31">
        <v>0</v>
      </c>
      <c r="V502" s="31">
        <v>0</v>
      </c>
      <c r="W502" s="31">
        <v>0</v>
      </c>
      <c r="X502" s="31">
        <v>0</v>
      </c>
      <c r="Y502" s="31">
        <v>0</v>
      </c>
      <c r="Z502" s="31">
        <v>0</v>
      </c>
      <c r="AA502" s="31">
        <v>0</v>
      </c>
      <c r="AB502" s="31">
        <v>0</v>
      </c>
      <c r="AC502" s="31">
        <f>ROUND(R502*1.5%,2)</f>
        <v>29961.279999999999</v>
      </c>
      <c r="AD502" s="31">
        <v>0</v>
      </c>
      <c r="AE502" s="31">
        <v>0</v>
      </c>
      <c r="AF502" s="34" t="s">
        <v>274</v>
      </c>
      <c r="AG502" s="34">
        <v>2020</v>
      </c>
      <c r="AH502" s="35">
        <v>2020</v>
      </c>
      <c r="AT502" s="20" t="e">
        <f>VLOOKUP(C502,AW:AX,2,FALSE)</f>
        <v>#N/A</v>
      </c>
      <c r="BZ502" s="71"/>
      <c r="CD502" s="20" t="e">
        <f t="shared" si="91"/>
        <v>#N/A</v>
      </c>
    </row>
    <row r="503" spans="1:83" ht="61.5" x14ac:dyDescent="0.85">
      <c r="A503" s="20">
        <v>1</v>
      </c>
      <c r="B503" s="66">
        <f>SUBTOTAL(103,$A$22:A503)</f>
        <v>429</v>
      </c>
      <c r="C503" s="24" t="s">
        <v>1294</v>
      </c>
      <c r="D503" s="31">
        <f>E503+F503+G503+H503+I503+J503+L503+N503+P503+R503+T503+U503+V503+W503+X503+Y503+Z503+AA503+AB503+AC503+AD503+AE503</f>
        <v>1001541.0499999999</v>
      </c>
      <c r="E503" s="31">
        <v>0</v>
      </c>
      <c r="F503" s="31">
        <v>0</v>
      </c>
      <c r="G503" s="31">
        <v>0</v>
      </c>
      <c r="H503" s="31">
        <v>0</v>
      </c>
      <c r="I503" s="31">
        <v>0</v>
      </c>
      <c r="J503" s="31">
        <v>0</v>
      </c>
      <c r="K503" s="33">
        <v>0</v>
      </c>
      <c r="L503" s="31">
        <v>0</v>
      </c>
      <c r="M503" s="31">
        <v>0</v>
      </c>
      <c r="N503" s="31">
        <v>0</v>
      </c>
      <c r="O503" s="31">
        <v>0</v>
      </c>
      <c r="P503" s="31">
        <v>0</v>
      </c>
      <c r="Q503" s="31">
        <v>438.75</v>
      </c>
      <c r="R503" s="31">
        <v>986739.95</v>
      </c>
      <c r="S503" s="31">
        <v>0</v>
      </c>
      <c r="T503" s="31">
        <v>0</v>
      </c>
      <c r="U503" s="31">
        <v>0</v>
      </c>
      <c r="V503" s="31">
        <v>0</v>
      </c>
      <c r="W503" s="31">
        <v>0</v>
      </c>
      <c r="X503" s="31">
        <v>0</v>
      </c>
      <c r="Y503" s="31">
        <v>0</v>
      </c>
      <c r="Z503" s="31">
        <v>0</v>
      </c>
      <c r="AA503" s="31">
        <v>0</v>
      </c>
      <c r="AB503" s="31">
        <v>0</v>
      </c>
      <c r="AC503" s="31">
        <f>ROUND(R503*1.5%,2)</f>
        <v>14801.1</v>
      </c>
      <c r="AD503" s="31">
        <v>0</v>
      </c>
      <c r="AE503" s="31">
        <v>0</v>
      </c>
      <c r="AF503" s="34" t="s">
        <v>274</v>
      </c>
      <c r="AG503" s="34">
        <v>2020</v>
      </c>
      <c r="AH503" s="35">
        <v>2020</v>
      </c>
      <c r="BZ503" s="71"/>
      <c r="CD503" s="20" t="e">
        <f t="shared" si="91"/>
        <v>#N/A</v>
      </c>
    </row>
    <row r="504" spans="1:83" ht="61.5" x14ac:dyDescent="0.85">
      <c r="A504" s="20">
        <v>1</v>
      </c>
      <c r="B504" s="66">
        <f>SUBTOTAL(103,$A$22:A504)</f>
        <v>430</v>
      </c>
      <c r="C504" s="24" t="s">
        <v>1295</v>
      </c>
      <c r="D504" s="31">
        <f>E504+F504+G504+H504+I504+J504+L504+N504+P504+R504+T504+U504+V504+W504+X504+Y504+Z504+AA504+AB504+AC504+AD504+AE504</f>
        <v>1867055.11</v>
      </c>
      <c r="E504" s="31">
        <v>0</v>
      </c>
      <c r="F504" s="31">
        <v>0</v>
      </c>
      <c r="G504" s="31">
        <v>0</v>
      </c>
      <c r="H504" s="31">
        <v>0</v>
      </c>
      <c r="I504" s="31">
        <v>0</v>
      </c>
      <c r="J504" s="31">
        <v>0</v>
      </c>
      <c r="K504" s="33">
        <v>0</v>
      </c>
      <c r="L504" s="31">
        <v>0</v>
      </c>
      <c r="M504" s="31">
        <v>0</v>
      </c>
      <c r="N504" s="31">
        <v>0</v>
      </c>
      <c r="O504" s="31">
        <v>0</v>
      </c>
      <c r="P504" s="31">
        <v>0</v>
      </c>
      <c r="Q504" s="31">
        <v>729.1</v>
      </c>
      <c r="R504" s="31">
        <v>1721236.56</v>
      </c>
      <c r="S504" s="31">
        <v>0</v>
      </c>
      <c r="T504" s="31">
        <v>0</v>
      </c>
      <c r="U504" s="31">
        <v>0</v>
      </c>
      <c r="V504" s="31">
        <v>0</v>
      </c>
      <c r="W504" s="31">
        <v>0</v>
      </c>
      <c r="X504" s="31">
        <v>0</v>
      </c>
      <c r="Y504" s="31">
        <v>0</v>
      </c>
      <c r="Z504" s="31">
        <v>0</v>
      </c>
      <c r="AA504" s="31">
        <v>0</v>
      </c>
      <c r="AB504" s="31">
        <v>0</v>
      </c>
      <c r="AC504" s="31">
        <f>ROUND(R504*1.5%,2)</f>
        <v>25818.55</v>
      </c>
      <c r="AD504" s="31">
        <v>0</v>
      </c>
      <c r="AE504" s="31">
        <v>120000</v>
      </c>
      <c r="AF504" s="34" t="s">
        <v>274</v>
      </c>
      <c r="AG504" s="34">
        <v>2020</v>
      </c>
      <c r="AH504" s="35">
        <v>2020</v>
      </c>
      <c r="BZ504" s="71"/>
      <c r="CD504" s="20" t="e">
        <f t="shared" si="91"/>
        <v>#N/A</v>
      </c>
    </row>
    <row r="505" spans="1:83" ht="61.5" x14ac:dyDescent="0.85">
      <c r="A505" s="20">
        <v>1</v>
      </c>
      <c r="B505" s="66">
        <f>SUBTOTAL(103,$A$22:A505)</f>
        <v>431</v>
      </c>
      <c r="C505" s="24" t="s">
        <v>1296</v>
      </c>
      <c r="D505" s="31">
        <f>E505+F505+G505+H505+I505+J505+L505+N505+P505+R505+T505+U505+V505+W505+X505+Y505+Z505+AA505+AB505+AC505+AD505+AE505</f>
        <v>3460575.3099999996</v>
      </c>
      <c r="E505" s="31">
        <v>0</v>
      </c>
      <c r="F505" s="31">
        <v>0</v>
      </c>
      <c r="G505" s="31">
        <v>0</v>
      </c>
      <c r="H505" s="31">
        <v>0</v>
      </c>
      <c r="I505" s="31">
        <v>0</v>
      </c>
      <c r="J505" s="31">
        <v>0</v>
      </c>
      <c r="K505" s="33">
        <v>0</v>
      </c>
      <c r="L505" s="31">
        <v>0</v>
      </c>
      <c r="M505" s="31">
        <v>949</v>
      </c>
      <c r="N505" s="31">
        <v>3409433.8</v>
      </c>
      <c r="O505" s="31">
        <v>0</v>
      </c>
      <c r="P505" s="31">
        <v>0</v>
      </c>
      <c r="Q505" s="31">
        <v>0</v>
      </c>
      <c r="R505" s="31">
        <v>0</v>
      </c>
      <c r="S505" s="31">
        <v>0</v>
      </c>
      <c r="T505" s="31">
        <v>0</v>
      </c>
      <c r="U505" s="31">
        <v>0</v>
      </c>
      <c r="V505" s="31">
        <v>0</v>
      </c>
      <c r="W505" s="31">
        <v>0</v>
      </c>
      <c r="X505" s="31">
        <v>0</v>
      </c>
      <c r="Y505" s="31">
        <v>0</v>
      </c>
      <c r="Z505" s="31">
        <v>0</v>
      </c>
      <c r="AA505" s="31">
        <v>0</v>
      </c>
      <c r="AB505" s="31">
        <v>0</v>
      </c>
      <c r="AC505" s="31">
        <f>ROUND(N505*1.5%,2)</f>
        <v>51141.51</v>
      </c>
      <c r="AD505" s="31">
        <v>0</v>
      </c>
      <c r="AE505" s="31">
        <v>0</v>
      </c>
      <c r="AF505" s="34" t="s">
        <v>274</v>
      </c>
      <c r="AG505" s="34">
        <v>2020</v>
      </c>
      <c r="AH505" s="35">
        <v>2020</v>
      </c>
      <c r="BZ505" s="71"/>
      <c r="CD505" s="20">
        <f t="shared" si="91"/>
        <v>949</v>
      </c>
    </row>
    <row r="506" spans="1:83" ht="61.5" x14ac:dyDescent="0.85">
      <c r="B506" s="24" t="s">
        <v>906</v>
      </c>
      <c r="C506" s="24"/>
      <c r="D506" s="31">
        <f t="shared" ref="D506:AE506" si="100">D507</f>
        <v>2887803.45</v>
      </c>
      <c r="E506" s="31">
        <f t="shared" si="100"/>
        <v>0</v>
      </c>
      <c r="F506" s="31">
        <f t="shared" si="100"/>
        <v>0</v>
      </c>
      <c r="G506" s="31">
        <f t="shared" si="100"/>
        <v>0</v>
      </c>
      <c r="H506" s="31">
        <f t="shared" si="100"/>
        <v>0</v>
      </c>
      <c r="I506" s="31">
        <f t="shared" si="100"/>
        <v>0</v>
      </c>
      <c r="J506" s="31">
        <f t="shared" si="100"/>
        <v>0</v>
      </c>
      <c r="K506" s="33">
        <f t="shared" si="100"/>
        <v>0</v>
      </c>
      <c r="L506" s="31">
        <f t="shared" si="100"/>
        <v>0</v>
      </c>
      <c r="M506" s="31">
        <f t="shared" si="100"/>
        <v>613.20000000000005</v>
      </c>
      <c r="N506" s="31">
        <f t="shared" si="100"/>
        <v>2768847</v>
      </c>
      <c r="O506" s="31">
        <f t="shared" si="100"/>
        <v>0</v>
      </c>
      <c r="P506" s="31">
        <f t="shared" si="100"/>
        <v>0</v>
      </c>
      <c r="Q506" s="31">
        <f t="shared" si="100"/>
        <v>0</v>
      </c>
      <c r="R506" s="31">
        <f t="shared" si="100"/>
        <v>0</v>
      </c>
      <c r="S506" s="31">
        <f t="shared" si="100"/>
        <v>0</v>
      </c>
      <c r="T506" s="31">
        <f t="shared" si="100"/>
        <v>0</v>
      </c>
      <c r="U506" s="31">
        <f t="shared" si="100"/>
        <v>0</v>
      </c>
      <c r="V506" s="31">
        <f t="shared" si="100"/>
        <v>0</v>
      </c>
      <c r="W506" s="31">
        <f t="shared" si="100"/>
        <v>0</v>
      </c>
      <c r="X506" s="31">
        <f t="shared" si="100"/>
        <v>0</v>
      </c>
      <c r="Y506" s="31">
        <f t="shared" si="100"/>
        <v>0</v>
      </c>
      <c r="Z506" s="31">
        <f t="shared" si="100"/>
        <v>0</v>
      </c>
      <c r="AA506" s="31">
        <f t="shared" si="100"/>
        <v>0</v>
      </c>
      <c r="AB506" s="31">
        <f t="shared" si="100"/>
        <v>0</v>
      </c>
      <c r="AC506" s="31">
        <f t="shared" si="100"/>
        <v>41532.71</v>
      </c>
      <c r="AD506" s="31">
        <f t="shared" si="100"/>
        <v>77423.739999999991</v>
      </c>
      <c r="AE506" s="31">
        <f t="shared" si="100"/>
        <v>0</v>
      </c>
      <c r="AF506" s="72" t="s">
        <v>776</v>
      </c>
      <c r="AG506" s="72" t="s">
        <v>776</v>
      </c>
      <c r="AH506" s="89" t="s">
        <v>776</v>
      </c>
      <c r="AT506" s="20" t="e">
        <f t="shared" ref="AT506:AT511" si="101">VLOOKUP(C506,AW:AX,2,FALSE)</f>
        <v>#N/A</v>
      </c>
      <c r="BZ506" s="71">
        <v>3314283.2199999997</v>
      </c>
      <c r="CB506" s="71">
        <f>BZ506-D506</f>
        <v>426479.76999999955</v>
      </c>
      <c r="CD506" s="20" t="e">
        <f t="shared" si="91"/>
        <v>#N/A</v>
      </c>
    </row>
    <row r="507" spans="1:83" ht="61.5" x14ac:dyDescent="0.85">
      <c r="A507" s="20">
        <v>1</v>
      </c>
      <c r="B507" s="66">
        <f>SUBTOTAL(103,$A$22:A507)</f>
        <v>432</v>
      </c>
      <c r="C507" s="24" t="s">
        <v>92</v>
      </c>
      <c r="D507" s="31">
        <f>E507+F507+G507+H507+I507+J507+L507+N507+P507+R507+T507+U507+V507+W507+X507+Y507+Z507+AA507+AB507+AC507+AD507+AE507</f>
        <v>2887803.45</v>
      </c>
      <c r="E507" s="31">
        <v>0</v>
      </c>
      <c r="F507" s="31">
        <v>0</v>
      </c>
      <c r="G507" s="31">
        <v>0</v>
      </c>
      <c r="H507" s="31">
        <v>0</v>
      </c>
      <c r="I507" s="31">
        <v>0</v>
      </c>
      <c r="J507" s="31">
        <v>0</v>
      </c>
      <c r="K507" s="33">
        <v>0</v>
      </c>
      <c r="L507" s="31">
        <v>0</v>
      </c>
      <c r="M507" s="31">
        <v>613.20000000000005</v>
      </c>
      <c r="N507" s="31">
        <v>2768847</v>
      </c>
      <c r="O507" s="31">
        <v>0</v>
      </c>
      <c r="P507" s="31">
        <v>0</v>
      </c>
      <c r="Q507" s="31">
        <v>0</v>
      </c>
      <c r="R507" s="31">
        <v>0</v>
      </c>
      <c r="S507" s="31">
        <v>0</v>
      </c>
      <c r="T507" s="31">
        <v>0</v>
      </c>
      <c r="U507" s="31">
        <v>0</v>
      </c>
      <c r="V507" s="31">
        <v>0</v>
      </c>
      <c r="W507" s="31">
        <v>0</v>
      </c>
      <c r="X507" s="31">
        <v>0</v>
      </c>
      <c r="Y507" s="31">
        <v>0</v>
      </c>
      <c r="Z507" s="31">
        <v>0</v>
      </c>
      <c r="AA507" s="31">
        <v>0</v>
      </c>
      <c r="AB507" s="31">
        <v>0</v>
      </c>
      <c r="AC507" s="31">
        <f>ROUND(N507*1.5%,2)</f>
        <v>41532.71</v>
      </c>
      <c r="AD507" s="31">
        <f>77421.34+2.4</f>
        <v>77423.739999999991</v>
      </c>
      <c r="AE507" s="31">
        <v>0</v>
      </c>
      <c r="AF507" s="34">
        <v>2020</v>
      </c>
      <c r="AG507" s="34">
        <v>2020</v>
      </c>
      <c r="AH507" s="35">
        <v>2020</v>
      </c>
      <c r="AT507" s="20" t="e">
        <f t="shared" si="101"/>
        <v>#N/A</v>
      </c>
      <c r="BZ507" s="71"/>
      <c r="CD507" s="20">
        <f t="shared" si="91"/>
        <v>613.20000000000005</v>
      </c>
    </row>
    <row r="508" spans="1:83" ht="61.5" x14ac:dyDescent="0.85">
      <c r="B508" s="24" t="s">
        <v>880</v>
      </c>
      <c r="C508" s="24"/>
      <c r="D508" s="31">
        <f t="shared" ref="D508:AE508" si="102">D509</f>
        <v>3060372.16</v>
      </c>
      <c r="E508" s="31">
        <f t="shared" si="102"/>
        <v>0</v>
      </c>
      <c r="F508" s="31">
        <f t="shared" si="102"/>
        <v>0</v>
      </c>
      <c r="G508" s="31">
        <f t="shared" si="102"/>
        <v>0</v>
      </c>
      <c r="H508" s="31">
        <f t="shared" si="102"/>
        <v>0</v>
      </c>
      <c r="I508" s="31">
        <f t="shared" si="102"/>
        <v>0</v>
      </c>
      <c r="J508" s="31">
        <f t="shared" si="102"/>
        <v>0</v>
      </c>
      <c r="K508" s="33">
        <f t="shared" si="102"/>
        <v>0</v>
      </c>
      <c r="L508" s="31">
        <f t="shared" si="102"/>
        <v>0</v>
      </c>
      <c r="M508" s="31">
        <f t="shared" si="102"/>
        <v>600</v>
      </c>
      <c r="N508" s="31">
        <f t="shared" si="102"/>
        <v>2938995.07</v>
      </c>
      <c r="O508" s="31">
        <f t="shared" si="102"/>
        <v>0</v>
      </c>
      <c r="P508" s="31">
        <f t="shared" si="102"/>
        <v>0</v>
      </c>
      <c r="Q508" s="31">
        <f t="shared" si="102"/>
        <v>0</v>
      </c>
      <c r="R508" s="31">
        <f t="shared" si="102"/>
        <v>0</v>
      </c>
      <c r="S508" s="31">
        <f t="shared" si="102"/>
        <v>0</v>
      </c>
      <c r="T508" s="31">
        <f t="shared" si="102"/>
        <v>0</v>
      </c>
      <c r="U508" s="31">
        <f t="shared" si="102"/>
        <v>0</v>
      </c>
      <c r="V508" s="31">
        <f t="shared" si="102"/>
        <v>0</v>
      </c>
      <c r="W508" s="31">
        <f t="shared" si="102"/>
        <v>0</v>
      </c>
      <c r="X508" s="31">
        <f t="shared" si="102"/>
        <v>0</v>
      </c>
      <c r="Y508" s="31">
        <f t="shared" si="102"/>
        <v>0</v>
      </c>
      <c r="Z508" s="31">
        <f t="shared" si="102"/>
        <v>0</v>
      </c>
      <c r="AA508" s="31">
        <f t="shared" si="102"/>
        <v>0</v>
      </c>
      <c r="AB508" s="31">
        <f t="shared" si="102"/>
        <v>0</v>
      </c>
      <c r="AC508" s="31">
        <f t="shared" si="102"/>
        <v>44084.93</v>
      </c>
      <c r="AD508" s="31">
        <f t="shared" si="102"/>
        <v>77292.160000000003</v>
      </c>
      <c r="AE508" s="31">
        <f t="shared" si="102"/>
        <v>0</v>
      </c>
      <c r="AF508" s="72" t="s">
        <v>776</v>
      </c>
      <c r="AG508" s="72" t="s">
        <v>776</v>
      </c>
      <c r="AH508" s="89" t="s">
        <v>776</v>
      </c>
      <c r="AT508" s="20" t="e">
        <f t="shared" si="101"/>
        <v>#N/A</v>
      </c>
      <c r="BZ508" s="71">
        <v>3133080</v>
      </c>
      <c r="CB508" s="71">
        <f>BZ508-D508</f>
        <v>72707.839999999851</v>
      </c>
      <c r="CD508" s="20" t="e">
        <f t="shared" si="91"/>
        <v>#N/A</v>
      </c>
    </row>
    <row r="509" spans="1:83" ht="61.5" x14ac:dyDescent="0.85">
      <c r="A509" s="20">
        <v>1</v>
      </c>
      <c r="B509" s="66">
        <f>SUBTOTAL(103,$A$22:A509)</f>
        <v>433</v>
      </c>
      <c r="C509" s="24" t="s">
        <v>93</v>
      </c>
      <c r="D509" s="31">
        <f>E509+F509+G509+H509+I509+J509+L509+N509+P509+R509+T509+U509+V509+W509+X509+Y509+Z509+AA509+AB509+AC509+AD509+AE509</f>
        <v>3060372.16</v>
      </c>
      <c r="E509" s="31">
        <v>0</v>
      </c>
      <c r="F509" s="31">
        <v>0</v>
      </c>
      <c r="G509" s="31">
        <v>0</v>
      </c>
      <c r="H509" s="31">
        <v>0</v>
      </c>
      <c r="I509" s="31">
        <v>0</v>
      </c>
      <c r="J509" s="31">
        <v>0</v>
      </c>
      <c r="K509" s="33">
        <v>0</v>
      </c>
      <c r="L509" s="31">
        <v>0</v>
      </c>
      <c r="M509" s="31">
        <v>600</v>
      </c>
      <c r="N509" s="31">
        <v>2938995.07</v>
      </c>
      <c r="O509" s="31">
        <v>0</v>
      </c>
      <c r="P509" s="31">
        <v>0</v>
      </c>
      <c r="Q509" s="31">
        <v>0</v>
      </c>
      <c r="R509" s="31">
        <v>0</v>
      </c>
      <c r="S509" s="31">
        <v>0</v>
      </c>
      <c r="T509" s="31">
        <v>0</v>
      </c>
      <c r="U509" s="31">
        <v>0</v>
      </c>
      <c r="V509" s="31">
        <v>0</v>
      </c>
      <c r="W509" s="31">
        <v>0</v>
      </c>
      <c r="X509" s="31">
        <v>0</v>
      </c>
      <c r="Y509" s="31">
        <v>0</v>
      </c>
      <c r="Z509" s="31">
        <v>0</v>
      </c>
      <c r="AA509" s="31">
        <v>0</v>
      </c>
      <c r="AB509" s="31">
        <v>0</v>
      </c>
      <c r="AC509" s="31">
        <f>ROUND(N509*1.5%,2)</f>
        <v>44084.93</v>
      </c>
      <c r="AD509" s="31">
        <v>77292.160000000003</v>
      </c>
      <c r="AE509" s="31">
        <v>0</v>
      </c>
      <c r="AF509" s="34">
        <v>2020</v>
      </c>
      <c r="AG509" s="34">
        <v>2020</v>
      </c>
      <c r="AH509" s="35">
        <v>2020</v>
      </c>
      <c r="AT509" s="20" t="e">
        <f t="shared" si="101"/>
        <v>#N/A</v>
      </c>
      <c r="BZ509" s="71"/>
      <c r="CD509" s="20" t="e">
        <f t="shared" si="91"/>
        <v>#N/A</v>
      </c>
    </row>
    <row r="510" spans="1:83" ht="61.5" x14ac:dyDescent="0.85">
      <c r="B510" s="24" t="s">
        <v>881</v>
      </c>
      <c r="C510" s="24"/>
      <c r="D510" s="31">
        <f>D511+D512</f>
        <v>6877537.6499999994</v>
      </c>
      <c r="E510" s="31">
        <f t="shared" ref="E510:AE510" si="103">E511+E512</f>
        <v>0</v>
      </c>
      <c r="F510" s="31">
        <f t="shared" si="103"/>
        <v>0</v>
      </c>
      <c r="G510" s="31">
        <f t="shared" si="103"/>
        <v>0</v>
      </c>
      <c r="H510" s="31">
        <f t="shared" si="103"/>
        <v>818295.28</v>
      </c>
      <c r="I510" s="31">
        <f t="shared" si="103"/>
        <v>0</v>
      </c>
      <c r="J510" s="31">
        <f t="shared" si="103"/>
        <v>0</v>
      </c>
      <c r="K510" s="33">
        <f t="shared" si="103"/>
        <v>0</v>
      </c>
      <c r="L510" s="31">
        <f t="shared" si="103"/>
        <v>0</v>
      </c>
      <c r="M510" s="31">
        <f t="shared" si="103"/>
        <v>1143</v>
      </c>
      <c r="N510" s="31">
        <f t="shared" si="103"/>
        <v>5702972.8099999996</v>
      </c>
      <c r="O510" s="31">
        <f t="shared" si="103"/>
        <v>0</v>
      </c>
      <c r="P510" s="31">
        <f t="shared" si="103"/>
        <v>0</v>
      </c>
      <c r="Q510" s="31">
        <f t="shared" si="103"/>
        <v>0</v>
      </c>
      <c r="R510" s="31">
        <f t="shared" si="103"/>
        <v>0</v>
      </c>
      <c r="S510" s="31">
        <f t="shared" si="103"/>
        <v>0</v>
      </c>
      <c r="T510" s="31">
        <f t="shared" si="103"/>
        <v>0</v>
      </c>
      <c r="U510" s="31">
        <f t="shared" si="103"/>
        <v>0</v>
      </c>
      <c r="V510" s="31">
        <f t="shared" si="103"/>
        <v>0</v>
      </c>
      <c r="W510" s="31">
        <f t="shared" si="103"/>
        <v>0</v>
      </c>
      <c r="X510" s="31">
        <f t="shared" si="103"/>
        <v>0</v>
      </c>
      <c r="Y510" s="31">
        <f t="shared" si="103"/>
        <v>0</v>
      </c>
      <c r="Z510" s="31">
        <f t="shared" si="103"/>
        <v>0</v>
      </c>
      <c r="AA510" s="31">
        <f t="shared" si="103"/>
        <v>0</v>
      </c>
      <c r="AB510" s="31">
        <f t="shared" si="103"/>
        <v>0</v>
      </c>
      <c r="AC510" s="31">
        <f t="shared" si="103"/>
        <v>97819.01999999999</v>
      </c>
      <c r="AD510" s="31">
        <f t="shared" si="103"/>
        <v>258450.54</v>
      </c>
      <c r="AE510" s="31">
        <f t="shared" si="103"/>
        <v>0</v>
      </c>
      <c r="AF510" s="72" t="s">
        <v>776</v>
      </c>
      <c r="AG510" s="72" t="s">
        <v>776</v>
      </c>
      <c r="AH510" s="89" t="s">
        <v>776</v>
      </c>
      <c r="AT510" s="20" t="e">
        <f t="shared" si="101"/>
        <v>#N/A</v>
      </c>
      <c r="BZ510" s="71">
        <v>5968517.3999999994</v>
      </c>
      <c r="CB510" s="71">
        <f>BZ510-D510</f>
        <v>-909020.25</v>
      </c>
      <c r="CD510" s="20" t="e">
        <f t="shared" si="91"/>
        <v>#N/A</v>
      </c>
    </row>
    <row r="511" spans="1:83" ht="61.5" x14ac:dyDescent="0.85">
      <c r="A511" s="20">
        <v>1</v>
      </c>
      <c r="B511" s="66">
        <f>SUBTOTAL(103,$A$22:A511)</f>
        <v>434</v>
      </c>
      <c r="C511" s="24" t="s">
        <v>94</v>
      </c>
      <c r="D511" s="31">
        <f>E511+F511+G511+H511+I511+J511+L511+N511+P511+R511+T511+U511+V511+W511+X511+Y511+Z511+AA511+AB511+AC511+AD511+AE511</f>
        <v>5946967.9399999995</v>
      </c>
      <c r="E511" s="31">
        <v>0</v>
      </c>
      <c r="F511" s="31">
        <v>0</v>
      </c>
      <c r="G511" s="31">
        <v>0</v>
      </c>
      <c r="H511" s="31">
        <v>0</v>
      </c>
      <c r="I511" s="31">
        <v>0</v>
      </c>
      <c r="J511" s="31">
        <v>0</v>
      </c>
      <c r="K511" s="33">
        <v>0</v>
      </c>
      <c r="L511" s="31">
        <v>0</v>
      </c>
      <c r="M511" s="31">
        <v>1143</v>
      </c>
      <c r="N511" s="31">
        <v>5702972.8099999996</v>
      </c>
      <c r="O511" s="31">
        <v>0</v>
      </c>
      <c r="P511" s="31">
        <v>0</v>
      </c>
      <c r="Q511" s="31">
        <v>0</v>
      </c>
      <c r="R511" s="31">
        <v>0</v>
      </c>
      <c r="S511" s="31">
        <v>0</v>
      </c>
      <c r="T511" s="31">
        <v>0</v>
      </c>
      <c r="U511" s="31">
        <v>0</v>
      </c>
      <c r="V511" s="31">
        <v>0</v>
      </c>
      <c r="W511" s="31">
        <v>0</v>
      </c>
      <c r="X511" s="31">
        <v>0</v>
      </c>
      <c r="Y511" s="31">
        <v>0</v>
      </c>
      <c r="Z511" s="31">
        <v>0</v>
      </c>
      <c r="AA511" s="31">
        <v>0</v>
      </c>
      <c r="AB511" s="31">
        <v>0</v>
      </c>
      <c r="AC511" s="31">
        <f>ROUND(N511*1.5%,2)</f>
        <v>85544.59</v>
      </c>
      <c r="AD511" s="31">
        <v>158450.54</v>
      </c>
      <c r="AE511" s="31">
        <v>0</v>
      </c>
      <c r="AF511" s="34">
        <v>2020</v>
      </c>
      <c r="AG511" s="34">
        <v>2020</v>
      </c>
      <c r="AH511" s="35">
        <v>2020</v>
      </c>
      <c r="AT511" s="20" t="e">
        <f t="shared" si="101"/>
        <v>#N/A</v>
      </c>
      <c r="BZ511" s="71"/>
      <c r="CD511" s="20" t="e">
        <f t="shared" si="91"/>
        <v>#N/A</v>
      </c>
    </row>
    <row r="512" spans="1:83" ht="61.5" x14ac:dyDescent="0.85">
      <c r="A512" s="20">
        <v>1</v>
      </c>
      <c r="B512" s="66">
        <f>SUBTOTAL(103,$A$22:A512)</f>
        <v>435</v>
      </c>
      <c r="C512" s="24" t="s">
        <v>1662</v>
      </c>
      <c r="D512" s="31">
        <f>E512+F512+G512+H512+I512+J512+L512+N512+P512+R512+T512+U512+V512+W512+X512+Y512+Z512+AA512+AB512+AC512+AD512+AE512</f>
        <v>930569.71000000008</v>
      </c>
      <c r="E512" s="31">
        <v>0</v>
      </c>
      <c r="F512" s="31">
        <v>0</v>
      </c>
      <c r="G512" s="31">
        <v>0</v>
      </c>
      <c r="H512" s="31">
        <v>818295.28</v>
      </c>
      <c r="I512" s="31">
        <v>0</v>
      </c>
      <c r="J512" s="31">
        <v>0</v>
      </c>
      <c r="K512" s="33">
        <v>0</v>
      </c>
      <c r="L512" s="31">
        <v>0</v>
      </c>
      <c r="M512" s="31">
        <v>0</v>
      </c>
      <c r="N512" s="31">
        <v>0</v>
      </c>
      <c r="O512" s="31">
        <v>0</v>
      </c>
      <c r="P512" s="31">
        <v>0</v>
      </c>
      <c r="Q512" s="31">
        <v>0</v>
      </c>
      <c r="R512" s="31">
        <v>0</v>
      </c>
      <c r="S512" s="31">
        <v>0</v>
      </c>
      <c r="T512" s="31">
        <v>0</v>
      </c>
      <c r="U512" s="31">
        <v>0</v>
      </c>
      <c r="V512" s="31">
        <v>0</v>
      </c>
      <c r="W512" s="31">
        <v>0</v>
      </c>
      <c r="X512" s="31">
        <v>0</v>
      </c>
      <c r="Y512" s="31">
        <v>0</v>
      </c>
      <c r="Z512" s="31">
        <v>0</v>
      </c>
      <c r="AA512" s="31">
        <v>0</v>
      </c>
      <c r="AB512" s="31">
        <v>0</v>
      </c>
      <c r="AC512" s="31">
        <f>ROUND(H512*1.5%,2)</f>
        <v>12274.43</v>
      </c>
      <c r="AD512" s="31">
        <v>100000</v>
      </c>
      <c r="AE512" s="31">
        <v>0</v>
      </c>
      <c r="AF512" s="34">
        <v>2020</v>
      </c>
      <c r="AG512" s="34">
        <v>2020</v>
      </c>
      <c r="AH512" s="35">
        <v>2020</v>
      </c>
      <c r="BZ512" s="71"/>
      <c r="CD512" s="20" t="e">
        <f t="shared" si="91"/>
        <v>#N/A</v>
      </c>
    </row>
    <row r="513" spans="1:82" ht="61.5" x14ac:dyDescent="0.85">
      <c r="B513" s="24" t="s">
        <v>882</v>
      </c>
      <c r="C513" s="24"/>
      <c r="D513" s="31">
        <f t="shared" ref="D513:AE513" si="104">D514</f>
        <v>3253210.4899999998</v>
      </c>
      <c r="E513" s="31">
        <f t="shared" si="104"/>
        <v>0</v>
      </c>
      <c r="F513" s="31">
        <f t="shared" si="104"/>
        <v>0</v>
      </c>
      <c r="G513" s="31">
        <f t="shared" si="104"/>
        <v>0</v>
      </c>
      <c r="H513" s="31">
        <f t="shared" si="104"/>
        <v>0</v>
      </c>
      <c r="I513" s="31">
        <f t="shared" si="104"/>
        <v>0</v>
      </c>
      <c r="J513" s="31">
        <f t="shared" si="104"/>
        <v>0</v>
      </c>
      <c r="K513" s="33">
        <f t="shared" si="104"/>
        <v>0</v>
      </c>
      <c r="L513" s="31">
        <f t="shared" si="104"/>
        <v>0</v>
      </c>
      <c r="M513" s="31">
        <f t="shared" si="104"/>
        <v>600</v>
      </c>
      <c r="N513" s="31">
        <f t="shared" si="104"/>
        <v>3126378.1399999997</v>
      </c>
      <c r="O513" s="31">
        <f t="shared" si="104"/>
        <v>0</v>
      </c>
      <c r="P513" s="31">
        <f t="shared" si="104"/>
        <v>0</v>
      </c>
      <c r="Q513" s="31">
        <f t="shared" si="104"/>
        <v>0</v>
      </c>
      <c r="R513" s="31">
        <f t="shared" si="104"/>
        <v>0</v>
      </c>
      <c r="S513" s="31">
        <f t="shared" si="104"/>
        <v>0</v>
      </c>
      <c r="T513" s="31">
        <f t="shared" si="104"/>
        <v>0</v>
      </c>
      <c r="U513" s="31">
        <f t="shared" si="104"/>
        <v>0</v>
      </c>
      <c r="V513" s="31">
        <f t="shared" si="104"/>
        <v>0</v>
      </c>
      <c r="W513" s="31">
        <f t="shared" si="104"/>
        <v>0</v>
      </c>
      <c r="X513" s="31">
        <f t="shared" si="104"/>
        <v>0</v>
      </c>
      <c r="Y513" s="31">
        <f t="shared" si="104"/>
        <v>0</v>
      </c>
      <c r="Z513" s="31">
        <f t="shared" si="104"/>
        <v>0</v>
      </c>
      <c r="AA513" s="31">
        <f t="shared" si="104"/>
        <v>0</v>
      </c>
      <c r="AB513" s="31">
        <f t="shared" si="104"/>
        <v>0</v>
      </c>
      <c r="AC513" s="31">
        <f t="shared" si="104"/>
        <v>46895.67</v>
      </c>
      <c r="AD513" s="31">
        <f t="shared" si="104"/>
        <v>79936.679999999993</v>
      </c>
      <c r="AE513" s="31">
        <f t="shared" si="104"/>
        <v>0</v>
      </c>
      <c r="AF513" s="72" t="s">
        <v>776</v>
      </c>
      <c r="AG513" s="72" t="s">
        <v>776</v>
      </c>
      <c r="AH513" s="89" t="s">
        <v>776</v>
      </c>
      <c r="AT513" s="20" t="e">
        <f>VLOOKUP(C513,AW:AX,2,FALSE)</f>
        <v>#N/A</v>
      </c>
      <c r="BZ513" s="71">
        <v>3253210.4899999998</v>
      </c>
      <c r="CB513" s="71">
        <f>BZ513-D513</f>
        <v>0</v>
      </c>
      <c r="CD513" s="20" t="e">
        <f t="shared" si="91"/>
        <v>#N/A</v>
      </c>
    </row>
    <row r="514" spans="1:82" ht="61.5" x14ac:dyDescent="0.85">
      <c r="A514" s="20">
        <v>1</v>
      </c>
      <c r="B514" s="66">
        <f>SUBTOTAL(103,$A$22:A514)</f>
        <v>436</v>
      </c>
      <c r="C514" s="24" t="s">
        <v>95</v>
      </c>
      <c r="D514" s="31">
        <f>E514+F514+G514+H514+I514+J514+L514+N514+P514+R514+T514+U514+V514+W514+X514+Y514+Z514+AA514+AB514+AC514+AD514+AE514</f>
        <v>3253210.4899999998</v>
      </c>
      <c r="E514" s="31">
        <v>0</v>
      </c>
      <c r="F514" s="31">
        <v>0</v>
      </c>
      <c r="G514" s="31">
        <v>0</v>
      </c>
      <c r="H514" s="31">
        <v>0</v>
      </c>
      <c r="I514" s="31">
        <v>0</v>
      </c>
      <c r="J514" s="31">
        <v>0</v>
      </c>
      <c r="K514" s="33">
        <v>0</v>
      </c>
      <c r="L514" s="31">
        <v>0</v>
      </c>
      <c r="M514" s="31">
        <v>600</v>
      </c>
      <c r="N514" s="31">
        <f>2938995.07+187383.07</f>
        <v>3126378.1399999997</v>
      </c>
      <c r="O514" s="31">
        <v>0</v>
      </c>
      <c r="P514" s="31">
        <v>0</v>
      </c>
      <c r="Q514" s="31">
        <v>0</v>
      </c>
      <c r="R514" s="31">
        <v>0</v>
      </c>
      <c r="S514" s="31">
        <v>0</v>
      </c>
      <c r="T514" s="31">
        <v>0</v>
      </c>
      <c r="U514" s="31">
        <v>0</v>
      </c>
      <c r="V514" s="31">
        <v>0</v>
      </c>
      <c r="W514" s="31">
        <v>0</v>
      </c>
      <c r="X514" s="31">
        <v>0</v>
      </c>
      <c r="Y514" s="31">
        <v>0</v>
      </c>
      <c r="Z514" s="31">
        <v>0</v>
      </c>
      <c r="AA514" s="31">
        <v>0</v>
      </c>
      <c r="AB514" s="31">
        <v>0</v>
      </c>
      <c r="AC514" s="31">
        <f>ROUND(N514*1.5%,2)</f>
        <v>46895.67</v>
      </c>
      <c r="AD514" s="31">
        <v>79936.679999999993</v>
      </c>
      <c r="AE514" s="31">
        <v>0</v>
      </c>
      <c r="AF514" s="34">
        <v>2020</v>
      </c>
      <c r="AG514" s="34">
        <v>2020</v>
      </c>
      <c r="AH514" s="35">
        <v>2020</v>
      </c>
      <c r="AT514" s="20" t="e">
        <f>VLOOKUP(C514,AW:AX,2,FALSE)</f>
        <v>#N/A</v>
      </c>
      <c r="BZ514" s="71"/>
      <c r="CD514" s="20" t="e">
        <f t="shared" si="91"/>
        <v>#N/A</v>
      </c>
    </row>
    <row r="515" spans="1:82" ht="61.5" x14ac:dyDescent="0.85">
      <c r="B515" s="24" t="s">
        <v>1297</v>
      </c>
      <c r="C515" s="24"/>
      <c r="D515" s="31">
        <f>D516</f>
        <v>2309984.35</v>
      </c>
      <c r="E515" s="31">
        <f t="shared" ref="E515:AE515" si="105">E516</f>
        <v>0</v>
      </c>
      <c r="F515" s="31">
        <f t="shared" si="105"/>
        <v>0</v>
      </c>
      <c r="G515" s="31">
        <f t="shared" si="105"/>
        <v>1528355.34</v>
      </c>
      <c r="H515" s="31">
        <f t="shared" si="105"/>
        <v>173337.94</v>
      </c>
      <c r="I515" s="31">
        <f t="shared" si="105"/>
        <v>574321.54</v>
      </c>
      <c r="J515" s="31">
        <f t="shared" si="105"/>
        <v>0</v>
      </c>
      <c r="K515" s="33">
        <f t="shared" si="105"/>
        <v>0</v>
      </c>
      <c r="L515" s="31">
        <f t="shared" si="105"/>
        <v>0</v>
      </c>
      <c r="M515" s="31">
        <f t="shared" si="105"/>
        <v>0</v>
      </c>
      <c r="N515" s="31">
        <f t="shared" si="105"/>
        <v>0</v>
      </c>
      <c r="O515" s="31">
        <f t="shared" si="105"/>
        <v>0</v>
      </c>
      <c r="P515" s="31">
        <f t="shared" si="105"/>
        <v>0</v>
      </c>
      <c r="Q515" s="31">
        <f t="shared" si="105"/>
        <v>0</v>
      </c>
      <c r="R515" s="31">
        <f t="shared" si="105"/>
        <v>0</v>
      </c>
      <c r="S515" s="31">
        <f t="shared" si="105"/>
        <v>0</v>
      </c>
      <c r="T515" s="31">
        <f t="shared" si="105"/>
        <v>0</v>
      </c>
      <c r="U515" s="31">
        <f t="shared" si="105"/>
        <v>0</v>
      </c>
      <c r="V515" s="31">
        <f t="shared" si="105"/>
        <v>0</v>
      </c>
      <c r="W515" s="31">
        <f t="shared" si="105"/>
        <v>0</v>
      </c>
      <c r="X515" s="31">
        <f t="shared" si="105"/>
        <v>0</v>
      </c>
      <c r="Y515" s="31">
        <f t="shared" si="105"/>
        <v>0</v>
      </c>
      <c r="Z515" s="31">
        <f t="shared" si="105"/>
        <v>0</v>
      </c>
      <c r="AA515" s="31">
        <f t="shared" si="105"/>
        <v>0</v>
      </c>
      <c r="AB515" s="31">
        <f t="shared" si="105"/>
        <v>0</v>
      </c>
      <c r="AC515" s="31">
        <f t="shared" si="105"/>
        <v>33969.53</v>
      </c>
      <c r="AD515" s="31">
        <f t="shared" si="105"/>
        <v>0</v>
      </c>
      <c r="AE515" s="31">
        <f t="shared" si="105"/>
        <v>0</v>
      </c>
      <c r="AF515" s="72" t="s">
        <v>776</v>
      </c>
      <c r="AG515" s="72" t="s">
        <v>776</v>
      </c>
      <c r="AH515" s="89" t="s">
        <v>776</v>
      </c>
      <c r="BZ515" s="71">
        <v>2309984.35</v>
      </c>
      <c r="CB515" s="71">
        <f>BZ515-D515</f>
        <v>0</v>
      </c>
      <c r="CD515" s="20" t="e">
        <f t="shared" si="91"/>
        <v>#N/A</v>
      </c>
    </row>
    <row r="516" spans="1:82" ht="61.5" x14ac:dyDescent="0.85">
      <c r="A516" s="20">
        <v>1</v>
      </c>
      <c r="B516" s="66">
        <f>SUBTOTAL(103,$A$22:A516)</f>
        <v>437</v>
      </c>
      <c r="C516" s="24" t="s">
        <v>1298</v>
      </c>
      <c r="D516" s="31">
        <f>E516+F516+G516+H516+I516+J516+L516+N516+P516+R516+T516+U516+V516+W516+X516+Y516+Z516+AA516+AB516+AC516+AD516+AE516</f>
        <v>2309984.35</v>
      </c>
      <c r="E516" s="31">
        <v>0</v>
      </c>
      <c r="F516" s="31">
        <v>0</v>
      </c>
      <c r="G516" s="31">
        <f>1435759.25+92596.09</f>
        <v>1528355.34</v>
      </c>
      <c r="H516" s="31">
        <v>173337.94</v>
      </c>
      <c r="I516" s="31">
        <v>574321.54</v>
      </c>
      <c r="J516" s="31">
        <v>0</v>
      </c>
      <c r="K516" s="33">
        <v>0</v>
      </c>
      <c r="L516" s="31">
        <v>0</v>
      </c>
      <c r="M516" s="31">
        <v>0</v>
      </c>
      <c r="N516" s="31">
        <v>0</v>
      </c>
      <c r="O516" s="31">
        <v>0</v>
      </c>
      <c r="P516" s="31">
        <v>0</v>
      </c>
      <c r="Q516" s="31">
        <v>0</v>
      </c>
      <c r="R516" s="31">
        <v>0</v>
      </c>
      <c r="S516" s="31">
        <v>0</v>
      </c>
      <c r="T516" s="31">
        <v>0</v>
      </c>
      <c r="U516" s="31">
        <v>0</v>
      </c>
      <c r="V516" s="31">
        <v>0</v>
      </c>
      <c r="W516" s="31">
        <v>0</v>
      </c>
      <c r="X516" s="31">
        <v>0</v>
      </c>
      <c r="Y516" s="31">
        <v>0</v>
      </c>
      <c r="Z516" s="31">
        <v>0</v>
      </c>
      <c r="AA516" s="31">
        <v>0</v>
      </c>
      <c r="AB516" s="31">
        <v>0</v>
      </c>
      <c r="AC516" s="31">
        <f>ROUND((E516+F516+G516+H516+I516+J516)*1.4925%,2)+0.01</f>
        <v>33969.53</v>
      </c>
      <c r="AD516" s="31">
        <v>0</v>
      </c>
      <c r="AE516" s="31">
        <v>0</v>
      </c>
      <c r="AF516" s="34" t="s">
        <v>274</v>
      </c>
      <c r="AG516" s="34">
        <v>2020</v>
      </c>
      <c r="AH516" s="35">
        <v>2020</v>
      </c>
      <c r="BZ516" s="71"/>
      <c r="CD516" s="20" t="e">
        <f t="shared" si="91"/>
        <v>#N/A</v>
      </c>
    </row>
    <row r="517" spans="1:82" ht="61.5" x14ac:dyDescent="0.85">
      <c r="B517" s="24" t="s">
        <v>883</v>
      </c>
      <c r="C517" s="166"/>
      <c r="D517" s="31">
        <f>SUM(D518:D523)</f>
        <v>7966049.0899999989</v>
      </c>
      <c r="E517" s="31">
        <f t="shared" ref="E517:AE517" si="106">SUM(E518:E523)</f>
        <v>0</v>
      </c>
      <c r="F517" s="31">
        <f t="shared" si="106"/>
        <v>0</v>
      </c>
      <c r="G517" s="31">
        <f t="shared" si="106"/>
        <v>0</v>
      </c>
      <c r="H517" s="31">
        <f t="shared" si="106"/>
        <v>0</v>
      </c>
      <c r="I517" s="31">
        <f t="shared" si="106"/>
        <v>1430880.48</v>
      </c>
      <c r="J517" s="31">
        <f t="shared" si="106"/>
        <v>0</v>
      </c>
      <c r="K517" s="33">
        <f t="shared" si="106"/>
        <v>0</v>
      </c>
      <c r="L517" s="31">
        <f t="shared" si="106"/>
        <v>0</v>
      </c>
      <c r="M517" s="31">
        <f t="shared" si="106"/>
        <v>1397.6</v>
      </c>
      <c r="N517" s="31">
        <f t="shared" si="106"/>
        <v>5928853.8900000006</v>
      </c>
      <c r="O517" s="31">
        <f t="shared" si="106"/>
        <v>0</v>
      </c>
      <c r="P517" s="31">
        <f t="shared" si="106"/>
        <v>0</v>
      </c>
      <c r="Q517" s="31">
        <f t="shared" si="106"/>
        <v>0</v>
      </c>
      <c r="R517" s="31">
        <f t="shared" si="106"/>
        <v>0</v>
      </c>
      <c r="S517" s="31">
        <f t="shared" si="106"/>
        <v>0</v>
      </c>
      <c r="T517" s="31">
        <f t="shared" si="106"/>
        <v>0</v>
      </c>
      <c r="U517" s="31">
        <f t="shared" si="106"/>
        <v>0</v>
      </c>
      <c r="V517" s="31">
        <f t="shared" si="106"/>
        <v>0</v>
      </c>
      <c r="W517" s="31">
        <f t="shared" si="106"/>
        <v>0</v>
      </c>
      <c r="X517" s="31">
        <f t="shared" si="106"/>
        <v>0</v>
      </c>
      <c r="Y517" s="31">
        <f t="shared" si="106"/>
        <v>0</v>
      </c>
      <c r="Z517" s="31">
        <f t="shared" si="106"/>
        <v>0</v>
      </c>
      <c r="AA517" s="31">
        <f t="shared" si="106"/>
        <v>0</v>
      </c>
      <c r="AB517" s="31">
        <f t="shared" si="106"/>
        <v>0</v>
      </c>
      <c r="AC517" s="31">
        <f t="shared" si="106"/>
        <v>110396.01000000001</v>
      </c>
      <c r="AD517" s="31">
        <f t="shared" si="106"/>
        <v>135918.71</v>
      </c>
      <c r="AE517" s="31">
        <f t="shared" si="106"/>
        <v>360000</v>
      </c>
      <c r="AF517" s="72" t="s">
        <v>776</v>
      </c>
      <c r="AG517" s="72" t="s">
        <v>776</v>
      </c>
      <c r="AH517" s="89" t="s">
        <v>776</v>
      </c>
      <c r="AT517" s="20" t="e">
        <f>VLOOKUP(C517,AW:AX,2,FALSE)</f>
        <v>#N/A</v>
      </c>
      <c r="BZ517" s="71">
        <v>7354613.0300000003</v>
      </c>
      <c r="CB517" s="71">
        <f>BZ517-D517</f>
        <v>-611436.05999999866</v>
      </c>
      <c r="CD517" s="20" t="e">
        <f t="shared" si="91"/>
        <v>#N/A</v>
      </c>
    </row>
    <row r="518" spans="1:82" ht="61.5" x14ac:dyDescent="0.85">
      <c r="A518" s="20">
        <v>1</v>
      </c>
      <c r="B518" s="66">
        <f>SUBTOTAL(103,$A$22:A518)</f>
        <v>438</v>
      </c>
      <c r="C518" s="24" t="s">
        <v>189</v>
      </c>
      <c r="D518" s="31">
        <f t="shared" ref="D518:D523" si="107">E518+F518+G518+H518+I518+J518+L518+N518+P518+R518+T518+U518+V518+W518+X518+Y518+Z518+AA518+AB518+AC518+AD518+AE518</f>
        <v>1403216.62</v>
      </c>
      <c r="E518" s="31">
        <v>0</v>
      </c>
      <c r="F518" s="31">
        <v>0</v>
      </c>
      <c r="G518" s="31">
        <v>0</v>
      </c>
      <c r="H518" s="31">
        <v>0</v>
      </c>
      <c r="I518" s="31">
        <v>0</v>
      </c>
      <c r="J518" s="31">
        <v>0</v>
      </c>
      <c r="K518" s="33">
        <v>0</v>
      </c>
      <c r="L518" s="31">
        <v>0</v>
      </c>
      <c r="M518" s="31">
        <v>255.2</v>
      </c>
      <c r="N518" s="31">
        <v>1347091.54</v>
      </c>
      <c r="O518" s="31">
        <v>0</v>
      </c>
      <c r="P518" s="31">
        <v>0</v>
      </c>
      <c r="Q518" s="31">
        <v>0</v>
      </c>
      <c r="R518" s="31">
        <v>0</v>
      </c>
      <c r="S518" s="31">
        <v>0</v>
      </c>
      <c r="T518" s="31">
        <v>0</v>
      </c>
      <c r="U518" s="31">
        <v>0</v>
      </c>
      <c r="V518" s="31">
        <v>0</v>
      </c>
      <c r="W518" s="31">
        <v>0</v>
      </c>
      <c r="X518" s="31">
        <v>0</v>
      </c>
      <c r="Y518" s="31">
        <v>0</v>
      </c>
      <c r="Z518" s="31">
        <v>0</v>
      </c>
      <c r="AA518" s="31">
        <v>0</v>
      </c>
      <c r="AB518" s="31">
        <v>0</v>
      </c>
      <c r="AC518" s="31">
        <f>ROUND(N518*1.5%,2)</f>
        <v>20206.37</v>
      </c>
      <c r="AD518" s="31">
        <v>35918.71</v>
      </c>
      <c r="AE518" s="31">
        <v>0</v>
      </c>
      <c r="AF518" s="34">
        <v>2020</v>
      </c>
      <c r="AG518" s="34">
        <v>2020</v>
      </c>
      <c r="AH518" s="35">
        <v>2020</v>
      </c>
      <c r="AT518" s="20" t="e">
        <f>VLOOKUP(C518,AW:AX,2,FALSE)</f>
        <v>#N/A</v>
      </c>
      <c r="BZ518" s="71"/>
      <c r="CD518" s="20">
        <f t="shared" si="91"/>
        <v>255.2</v>
      </c>
    </row>
    <row r="519" spans="1:82" ht="61.5" x14ac:dyDescent="0.85">
      <c r="A519" s="20">
        <v>1</v>
      </c>
      <c r="B519" s="66">
        <f>SUBTOTAL(103,$A$22:A519)</f>
        <v>439</v>
      </c>
      <c r="C519" s="24" t="s">
        <v>188</v>
      </c>
      <c r="D519" s="31">
        <f t="shared" si="107"/>
        <v>1494699.9999999998</v>
      </c>
      <c r="E519" s="31">
        <v>0</v>
      </c>
      <c r="F519" s="31">
        <v>0</v>
      </c>
      <c r="G519" s="31">
        <v>0</v>
      </c>
      <c r="H519" s="31">
        <v>0</v>
      </c>
      <c r="I519" s="31">
        <v>0</v>
      </c>
      <c r="J519" s="31">
        <v>0</v>
      </c>
      <c r="K519" s="33">
        <v>0</v>
      </c>
      <c r="L519" s="31">
        <v>0</v>
      </c>
      <c r="M519" s="31">
        <v>297</v>
      </c>
      <c r="N519" s="31">
        <f>1374088.67-118226.6</f>
        <v>1255862.0699999998</v>
      </c>
      <c r="O519" s="31">
        <v>0</v>
      </c>
      <c r="P519" s="31">
        <v>0</v>
      </c>
      <c r="Q519" s="31">
        <v>0</v>
      </c>
      <c r="R519" s="31">
        <v>0</v>
      </c>
      <c r="S519" s="31">
        <v>0</v>
      </c>
      <c r="T519" s="31">
        <v>0</v>
      </c>
      <c r="U519" s="31">
        <v>0</v>
      </c>
      <c r="V519" s="31">
        <v>0</v>
      </c>
      <c r="W519" s="31">
        <v>0</v>
      </c>
      <c r="X519" s="31">
        <v>0</v>
      </c>
      <c r="Y519" s="31">
        <v>0</v>
      </c>
      <c r="Z519" s="31">
        <v>0</v>
      </c>
      <c r="AA519" s="31">
        <v>0</v>
      </c>
      <c r="AB519" s="31">
        <v>0</v>
      </c>
      <c r="AC519" s="31">
        <f>ROUND(N519*1.5%,2)</f>
        <v>18837.93</v>
      </c>
      <c r="AD519" s="31">
        <v>100000</v>
      </c>
      <c r="AE519" s="31">
        <v>120000</v>
      </c>
      <c r="AF519" s="34">
        <v>2020</v>
      </c>
      <c r="AG519" s="34">
        <v>2020</v>
      </c>
      <c r="AH519" s="35">
        <v>2020</v>
      </c>
      <c r="AT519" s="20" t="e">
        <f>VLOOKUP(C519,AW:AX,2,FALSE)</f>
        <v>#N/A</v>
      </c>
      <c r="BZ519" s="71"/>
      <c r="CD519" s="20" t="e">
        <f t="shared" si="91"/>
        <v>#N/A</v>
      </c>
    </row>
    <row r="520" spans="1:82" ht="61.5" x14ac:dyDescent="0.85">
      <c r="A520" s="20">
        <v>1</v>
      </c>
      <c r="B520" s="66">
        <f>SUBTOTAL(103,$A$22:A520)</f>
        <v>440</v>
      </c>
      <c r="C520" s="24" t="s">
        <v>1299</v>
      </c>
      <c r="D520" s="31">
        <f t="shared" si="107"/>
        <v>2173966.8199999998</v>
      </c>
      <c r="E520" s="31">
        <v>0</v>
      </c>
      <c r="F520" s="31">
        <v>0</v>
      </c>
      <c r="G520" s="31">
        <v>0</v>
      </c>
      <c r="H520" s="31">
        <v>0</v>
      </c>
      <c r="I520" s="31">
        <v>0</v>
      </c>
      <c r="J520" s="31">
        <v>0</v>
      </c>
      <c r="K520" s="33">
        <v>0</v>
      </c>
      <c r="L520" s="31">
        <v>0</v>
      </c>
      <c r="M520" s="31">
        <v>437.4</v>
      </c>
      <c r="N520" s="31">
        <v>2023612.63</v>
      </c>
      <c r="O520" s="31">
        <v>0</v>
      </c>
      <c r="P520" s="31">
        <v>0</v>
      </c>
      <c r="Q520" s="31">
        <v>0</v>
      </c>
      <c r="R520" s="31">
        <v>0</v>
      </c>
      <c r="S520" s="31">
        <v>0</v>
      </c>
      <c r="T520" s="31">
        <v>0</v>
      </c>
      <c r="U520" s="31">
        <v>0</v>
      </c>
      <c r="V520" s="31">
        <v>0</v>
      </c>
      <c r="W520" s="31">
        <v>0</v>
      </c>
      <c r="X520" s="31">
        <v>0</v>
      </c>
      <c r="Y520" s="31">
        <v>0</v>
      </c>
      <c r="Z520" s="31">
        <v>0</v>
      </c>
      <c r="AA520" s="31">
        <v>0</v>
      </c>
      <c r="AB520" s="31">
        <v>0</v>
      </c>
      <c r="AC520" s="31">
        <f>ROUND(N520*1.5%,2)</f>
        <v>30354.19</v>
      </c>
      <c r="AD520" s="31">
        <v>0</v>
      </c>
      <c r="AE520" s="31">
        <v>120000</v>
      </c>
      <c r="AF520" s="34" t="s">
        <v>274</v>
      </c>
      <c r="AG520" s="34">
        <v>2020</v>
      </c>
      <c r="AH520" s="35">
        <v>2020</v>
      </c>
      <c r="BZ520" s="71"/>
      <c r="CD520" s="20">
        <f t="shared" si="91"/>
        <v>437.4</v>
      </c>
    </row>
    <row r="521" spans="1:82" ht="61.5" x14ac:dyDescent="0.85">
      <c r="A521" s="20">
        <v>1</v>
      </c>
      <c r="B521" s="66">
        <f>SUBTOTAL(103,$A$22:A521)</f>
        <v>441</v>
      </c>
      <c r="C521" s="24" t="s">
        <v>1300</v>
      </c>
      <c r="D521" s="31">
        <f t="shared" si="107"/>
        <v>1441821.96</v>
      </c>
      <c r="E521" s="31">
        <v>0</v>
      </c>
      <c r="F521" s="31">
        <v>0</v>
      </c>
      <c r="G521" s="31">
        <v>0</v>
      </c>
      <c r="H521" s="31">
        <v>0</v>
      </c>
      <c r="I521" s="31">
        <v>0</v>
      </c>
      <c r="J521" s="31">
        <v>0</v>
      </c>
      <c r="K521" s="33">
        <v>0</v>
      </c>
      <c r="L521" s="31">
        <v>0</v>
      </c>
      <c r="M521" s="31">
        <v>408</v>
      </c>
      <c r="N521" s="31">
        <v>1302287.6499999999</v>
      </c>
      <c r="O521" s="31">
        <v>0</v>
      </c>
      <c r="P521" s="31">
        <v>0</v>
      </c>
      <c r="Q521" s="31">
        <v>0</v>
      </c>
      <c r="R521" s="31">
        <v>0</v>
      </c>
      <c r="S521" s="31">
        <v>0</v>
      </c>
      <c r="T521" s="31">
        <v>0</v>
      </c>
      <c r="U521" s="31">
        <v>0</v>
      </c>
      <c r="V521" s="31">
        <v>0</v>
      </c>
      <c r="W521" s="31">
        <v>0</v>
      </c>
      <c r="X521" s="31">
        <v>0</v>
      </c>
      <c r="Y521" s="31">
        <v>0</v>
      </c>
      <c r="Z521" s="31">
        <v>0</v>
      </c>
      <c r="AA521" s="31">
        <v>0</v>
      </c>
      <c r="AB521" s="31">
        <v>0</v>
      </c>
      <c r="AC521" s="31">
        <f>ROUND(N521*1.5%,2)</f>
        <v>19534.310000000001</v>
      </c>
      <c r="AD521" s="31">
        <v>0</v>
      </c>
      <c r="AE521" s="31">
        <v>120000</v>
      </c>
      <c r="AF521" s="34" t="s">
        <v>274</v>
      </c>
      <c r="AG521" s="34">
        <v>2020</v>
      </c>
      <c r="AH521" s="35">
        <v>2020</v>
      </c>
      <c r="BZ521" s="71"/>
      <c r="CD521" s="20">
        <f t="shared" si="91"/>
        <v>408</v>
      </c>
    </row>
    <row r="522" spans="1:82" ht="61.5" x14ac:dyDescent="0.85">
      <c r="A522" s="20">
        <v>1</v>
      </c>
      <c r="B522" s="66">
        <f>SUBTOTAL(103,$A$22:A522)</f>
        <v>442</v>
      </c>
      <c r="C522" s="24" t="s">
        <v>1301</v>
      </c>
      <c r="D522" s="31">
        <f t="shared" si="107"/>
        <v>725838.89999999991</v>
      </c>
      <c r="E522" s="31">
        <v>0</v>
      </c>
      <c r="F522" s="31">
        <v>0</v>
      </c>
      <c r="G522" s="31">
        <v>0</v>
      </c>
      <c r="H522" s="31">
        <v>0</v>
      </c>
      <c r="I522" s="31">
        <v>715112.21</v>
      </c>
      <c r="J522" s="31">
        <v>0</v>
      </c>
      <c r="K522" s="33">
        <v>0</v>
      </c>
      <c r="L522" s="31">
        <v>0</v>
      </c>
      <c r="M522" s="31">
        <v>0</v>
      </c>
      <c r="N522" s="31">
        <v>0</v>
      </c>
      <c r="O522" s="31">
        <v>0</v>
      </c>
      <c r="P522" s="31">
        <v>0</v>
      </c>
      <c r="Q522" s="31">
        <v>0</v>
      </c>
      <c r="R522" s="31">
        <v>0</v>
      </c>
      <c r="S522" s="31">
        <v>0</v>
      </c>
      <c r="T522" s="31">
        <v>0</v>
      </c>
      <c r="U522" s="31">
        <v>0</v>
      </c>
      <c r="V522" s="31">
        <v>0</v>
      </c>
      <c r="W522" s="31">
        <v>0</v>
      </c>
      <c r="X522" s="31">
        <v>0</v>
      </c>
      <c r="Y522" s="31">
        <v>0</v>
      </c>
      <c r="Z522" s="31">
        <v>0</v>
      </c>
      <c r="AA522" s="31">
        <v>0</v>
      </c>
      <c r="AB522" s="31">
        <v>0</v>
      </c>
      <c r="AC522" s="31">
        <f>ROUND(I522*1.5%,2)+0.01</f>
        <v>10726.69</v>
      </c>
      <c r="AD522" s="31">
        <v>0</v>
      </c>
      <c r="AE522" s="31">
        <v>0</v>
      </c>
      <c r="AF522" s="34" t="s">
        <v>274</v>
      </c>
      <c r="AG522" s="34">
        <v>2020</v>
      </c>
      <c r="AH522" s="35">
        <v>2020</v>
      </c>
      <c r="BZ522" s="71"/>
      <c r="CD522" s="20" t="e">
        <f t="shared" si="91"/>
        <v>#N/A</v>
      </c>
    </row>
    <row r="523" spans="1:82" ht="61.5" x14ac:dyDescent="0.85">
      <c r="A523" s="20">
        <v>1</v>
      </c>
      <c r="B523" s="66">
        <f>SUBTOTAL(103,$A$22:A523)</f>
        <v>443</v>
      </c>
      <c r="C523" s="24" t="s">
        <v>1302</v>
      </c>
      <c r="D523" s="31">
        <f t="shared" si="107"/>
        <v>726504.79</v>
      </c>
      <c r="E523" s="31">
        <v>0</v>
      </c>
      <c r="F523" s="31">
        <v>0</v>
      </c>
      <c r="G523" s="31">
        <v>0</v>
      </c>
      <c r="H523" s="31">
        <v>0</v>
      </c>
      <c r="I523" s="31">
        <v>715768.27</v>
      </c>
      <c r="J523" s="31">
        <v>0</v>
      </c>
      <c r="K523" s="33">
        <v>0</v>
      </c>
      <c r="L523" s="31">
        <v>0</v>
      </c>
      <c r="M523" s="31">
        <v>0</v>
      </c>
      <c r="N523" s="31">
        <v>0</v>
      </c>
      <c r="O523" s="31">
        <v>0</v>
      </c>
      <c r="P523" s="31">
        <v>0</v>
      </c>
      <c r="Q523" s="31">
        <v>0</v>
      </c>
      <c r="R523" s="31">
        <v>0</v>
      </c>
      <c r="S523" s="31">
        <v>0</v>
      </c>
      <c r="T523" s="31">
        <v>0</v>
      </c>
      <c r="U523" s="31">
        <v>0</v>
      </c>
      <c r="V523" s="31">
        <v>0</v>
      </c>
      <c r="W523" s="31">
        <v>0</v>
      </c>
      <c r="X523" s="31">
        <v>0</v>
      </c>
      <c r="Y523" s="31">
        <v>0</v>
      </c>
      <c r="Z523" s="31">
        <v>0</v>
      </c>
      <c r="AA523" s="31">
        <v>0</v>
      </c>
      <c r="AB523" s="31">
        <v>0</v>
      </c>
      <c r="AC523" s="31">
        <f>ROUND(I523*1.5%,2)</f>
        <v>10736.52</v>
      </c>
      <c r="AD523" s="31">
        <v>0</v>
      </c>
      <c r="AE523" s="31">
        <v>0</v>
      </c>
      <c r="AF523" s="34" t="s">
        <v>274</v>
      </c>
      <c r="AG523" s="34">
        <v>2020</v>
      </c>
      <c r="AH523" s="35">
        <v>2020</v>
      </c>
      <c r="BZ523" s="71"/>
      <c r="CD523" s="20" t="e">
        <f t="shared" si="91"/>
        <v>#N/A</v>
      </c>
    </row>
    <row r="524" spans="1:82" ht="61.5" x14ac:dyDescent="0.85">
      <c r="B524" s="24" t="s">
        <v>884</v>
      </c>
      <c r="C524" s="24"/>
      <c r="D524" s="31">
        <f t="shared" ref="D524:AE524" si="108">D525</f>
        <v>4880587.2799999993</v>
      </c>
      <c r="E524" s="31">
        <f t="shared" si="108"/>
        <v>0</v>
      </c>
      <c r="F524" s="31">
        <f t="shared" si="108"/>
        <v>0</v>
      </c>
      <c r="G524" s="31">
        <f t="shared" si="108"/>
        <v>0</v>
      </c>
      <c r="H524" s="31">
        <f t="shared" si="108"/>
        <v>0</v>
      </c>
      <c r="I524" s="31">
        <f t="shared" si="108"/>
        <v>0</v>
      </c>
      <c r="J524" s="31">
        <f t="shared" si="108"/>
        <v>0</v>
      </c>
      <c r="K524" s="33">
        <f t="shared" si="108"/>
        <v>0</v>
      </c>
      <c r="L524" s="31">
        <f t="shared" si="108"/>
        <v>0</v>
      </c>
      <c r="M524" s="31">
        <f t="shared" si="108"/>
        <v>1028.5999999999999</v>
      </c>
      <c r="N524" s="31">
        <f t="shared" si="108"/>
        <v>4703951.5599999996</v>
      </c>
      <c r="O524" s="31">
        <f t="shared" si="108"/>
        <v>0</v>
      </c>
      <c r="P524" s="31">
        <f t="shared" si="108"/>
        <v>0</v>
      </c>
      <c r="Q524" s="31">
        <f t="shared" si="108"/>
        <v>0</v>
      </c>
      <c r="R524" s="31">
        <f t="shared" si="108"/>
        <v>0</v>
      </c>
      <c r="S524" s="31">
        <f t="shared" si="108"/>
        <v>0</v>
      </c>
      <c r="T524" s="31">
        <f t="shared" si="108"/>
        <v>0</v>
      </c>
      <c r="U524" s="31">
        <f t="shared" si="108"/>
        <v>0</v>
      </c>
      <c r="V524" s="31">
        <f t="shared" si="108"/>
        <v>0</v>
      </c>
      <c r="W524" s="31">
        <f t="shared" si="108"/>
        <v>0</v>
      </c>
      <c r="X524" s="31">
        <f t="shared" si="108"/>
        <v>0</v>
      </c>
      <c r="Y524" s="31">
        <f t="shared" si="108"/>
        <v>0</v>
      </c>
      <c r="Z524" s="31">
        <f t="shared" si="108"/>
        <v>0</v>
      </c>
      <c r="AA524" s="31">
        <f t="shared" si="108"/>
        <v>0</v>
      </c>
      <c r="AB524" s="31">
        <f t="shared" si="108"/>
        <v>0</v>
      </c>
      <c r="AC524" s="31">
        <f t="shared" si="108"/>
        <v>70559.27</v>
      </c>
      <c r="AD524" s="31">
        <f t="shared" si="108"/>
        <v>106076.45</v>
      </c>
      <c r="AE524" s="31">
        <f t="shared" si="108"/>
        <v>0</v>
      </c>
      <c r="AF524" s="72" t="s">
        <v>776</v>
      </c>
      <c r="AG524" s="72" t="s">
        <v>776</v>
      </c>
      <c r="AH524" s="89" t="s">
        <v>776</v>
      </c>
      <c r="AT524" s="20" t="e">
        <f>VLOOKUP(C524,AW:AX,2,FALSE)</f>
        <v>#N/A</v>
      </c>
      <c r="BZ524" s="71">
        <v>5403513.4500000002</v>
      </c>
      <c r="CB524" s="71">
        <f>BZ524-D524</f>
        <v>522926.17000000086</v>
      </c>
      <c r="CD524" s="20" t="e">
        <f t="shared" si="91"/>
        <v>#N/A</v>
      </c>
    </row>
    <row r="525" spans="1:82" ht="61.5" x14ac:dyDescent="0.85">
      <c r="A525" s="20">
        <v>1</v>
      </c>
      <c r="B525" s="66">
        <f>SUBTOTAL(103,$A$22:A525)</f>
        <v>444</v>
      </c>
      <c r="C525" s="24" t="s">
        <v>192</v>
      </c>
      <c r="D525" s="31">
        <f>E525+F525+G525+H525+I525+J525+L525+N525+P525+R525+T525+U525+V525+W525+X525+Y525+Z525+AA525+AB525+AC525+AD525+AE525</f>
        <v>4880587.2799999993</v>
      </c>
      <c r="E525" s="31">
        <v>0</v>
      </c>
      <c r="F525" s="31">
        <v>0</v>
      </c>
      <c r="G525" s="31">
        <v>0</v>
      </c>
      <c r="H525" s="31">
        <v>0</v>
      </c>
      <c r="I525" s="31">
        <v>0</v>
      </c>
      <c r="J525" s="31">
        <v>0</v>
      </c>
      <c r="K525" s="33">
        <v>0</v>
      </c>
      <c r="L525" s="31">
        <v>0</v>
      </c>
      <c r="M525" s="31">
        <v>1028.5999999999999</v>
      </c>
      <c r="N525" s="31">
        <v>4703951.5599999996</v>
      </c>
      <c r="O525" s="31">
        <v>0</v>
      </c>
      <c r="P525" s="31">
        <v>0</v>
      </c>
      <c r="Q525" s="31">
        <v>0</v>
      </c>
      <c r="R525" s="31">
        <v>0</v>
      </c>
      <c r="S525" s="31">
        <v>0</v>
      </c>
      <c r="T525" s="31">
        <v>0</v>
      </c>
      <c r="U525" s="31">
        <v>0</v>
      </c>
      <c r="V525" s="31">
        <v>0</v>
      </c>
      <c r="W525" s="31">
        <v>0</v>
      </c>
      <c r="X525" s="31">
        <v>0</v>
      </c>
      <c r="Y525" s="31">
        <v>0</v>
      </c>
      <c r="Z525" s="31">
        <v>0</v>
      </c>
      <c r="AA525" s="31">
        <v>0</v>
      </c>
      <c r="AB525" s="31">
        <v>0</v>
      </c>
      <c r="AC525" s="31">
        <f>ROUND(N525*1.5%,2)</f>
        <v>70559.27</v>
      </c>
      <c r="AD525" s="31">
        <v>106076.45</v>
      </c>
      <c r="AE525" s="31">
        <v>0</v>
      </c>
      <c r="AF525" s="34">
        <v>2020</v>
      </c>
      <c r="AG525" s="34">
        <v>2020</v>
      </c>
      <c r="AH525" s="35">
        <v>2020</v>
      </c>
      <c r="AT525" s="20" t="e">
        <f>VLOOKUP(C525,AW:AX,2,FALSE)</f>
        <v>#N/A</v>
      </c>
      <c r="BZ525" s="71"/>
      <c r="CD525" s="20">
        <f t="shared" si="91"/>
        <v>1028.5999999999999</v>
      </c>
    </row>
    <row r="526" spans="1:82" ht="61.5" x14ac:dyDescent="0.85">
      <c r="B526" s="24" t="s">
        <v>885</v>
      </c>
      <c r="C526" s="24"/>
      <c r="D526" s="31">
        <f>D527+D528</f>
        <v>8957085.8399999999</v>
      </c>
      <c r="E526" s="31">
        <f t="shared" ref="E526:AE526" si="109">E527+E528</f>
        <v>0</v>
      </c>
      <c r="F526" s="31">
        <f t="shared" si="109"/>
        <v>0</v>
      </c>
      <c r="G526" s="31">
        <f t="shared" si="109"/>
        <v>0</v>
      </c>
      <c r="H526" s="31">
        <f t="shared" si="109"/>
        <v>0</v>
      </c>
      <c r="I526" s="31">
        <f t="shared" si="109"/>
        <v>0</v>
      </c>
      <c r="J526" s="31">
        <f t="shared" si="109"/>
        <v>0</v>
      </c>
      <c r="K526" s="33">
        <f t="shared" si="109"/>
        <v>0</v>
      </c>
      <c r="L526" s="31">
        <f t="shared" si="109"/>
        <v>0</v>
      </c>
      <c r="M526" s="31">
        <f t="shared" si="109"/>
        <v>578.4</v>
      </c>
      <c r="N526" s="31">
        <f t="shared" si="109"/>
        <v>3123429.91</v>
      </c>
      <c r="O526" s="31">
        <f t="shared" si="109"/>
        <v>0</v>
      </c>
      <c r="P526" s="31">
        <f t="shared" si="109"/>
        <v>0</v>
      </c>
      <c r="Q526" s="31">
        <f t="shared" si="109"/>
        <v>2869</v>
      </c>
      <c r="R526" s="31">
        <f t="shared" si="109"/>
        <v>5701706.5100000007</v>
      </c>
      <c r="S526" s="31">
        <f t="shared" si="109"/>
        <v>0</v>
      </c>
      <c r="T526" s="31">
        <f t="shared" si="109"/>
        <v>0</v>
      </c>
      <c r="U526" s="31">
        <f t="shared" si="109"/>
        <v>0</v>
      </c>
      <c r="V526" s="31">
        <f t="shared" si="109"/>
        <v>0</v>
      </c>
      <c r="W526" s="31">
        <f t="shared" si="109"/>
        <v>0</v>
      </c>
      <c r="X526" s="31">
        <f t="shared" si="109"/>
        <v>0</v>
      </c>
      <c r="Y526" s="31">
        <f t="shared" si="109"/>
        <v>0</v>
      </c>
      <c r="Z526" s="31">
        <f t="shared" si="109"/>
        <v>0</v>
      </c>
      <c r="AA526" s="31">
        <f t="shared" si="109"/>
        <v>0</v>
      </c>
      <c r="AB526" s="31">
        <f t="shared" si="109"/>
        <v>0</v>
      </c>
      <c r="AC526" s="31">
        <f t="shared" si="109"/>
        <v>131949.41999999998</v>
      </c>
      <c r="AD526" s="31">
        <f t="shared" si="109"/>
        <v>0</v>
      </c>
      <c r="AE526" s="31">
        <f t="shared" si="109"/>
        <v>0</v>
      </c>
      <c r="AF526" s="72" t="s">
        <v>776</v>
      </c>
      <c r="AG526" s="72" t="s">
        <v>776</v>
      </c>
      <c r="AH526" s="89" t="s">
        <v>776</v>
      </c>
      <c r="AT526" s="20" t="e">
        <f>VLOOKUP(C526,AW:AX,2,FALSE)</f>
        <v>#N/A</v>
      </c>
      <c r="BZ526" s="71">
        <v>8957085.8399999999</v>
      </c>
      <c r="CB526" s="71">
        <f>BZ526-D526</f>
        <v>0</v>
      </c>
      <c r="CD526" s="20" t="e">
        <f t="shared" si="91"/>
        <v>#N/A</v>
      </c>
    </row>
    <row r="527" spans="1:82" ht="61.5" x14ac:dyDescent="0.85">
      <c r="A527" s="20">
        <v>1</v>
      </c>
      <c r="B527" s="66">
        <f>SUBTOTAL(103,$A$22:A527)</f>
        <v>445</v>
      </c>
      <c r="C527" s="24" t="s">
        <v>191</v>
      </c>
      <c r="D527" s="31">
        <f>E527+F527+G527+H527+I527+J527+L527+N527+P527+R527+T527+U527+V527+W527+X527+Y527+Z527+AA527+AB527+AC527+AD527+AE527</f>
        <v>3170281.3600000003</v>
      </c>
      <c r="E527" s="31">
        <v>0</v>
      </c>
      <c r="F527" s="31">
        <v>0</v>
      </c>
      <c r="G527" s="31">
        <v>0</v>
      </c>
      <c r="H527" s="31">
        <v>0</v>
      </c>
      <c r="I527" s="31">
        <v>0</v>
      </c>
      <c r="J527" s="31">
        <v>0</v>
      </c>
      <c r="K527" s="33">
        <v>0</v>
      </c>
      <c r="L527" s="31">
        <v>0</v>
      </c>
      <c r="M527" s="31">
        <v>578.4</v>
      </c>
      <c r="N527" s="31">
        <f>2975646.66+147783.25</f>
        <v>3123429.91</v>
      </c>
      <c r="O527" s="31">
        <v>0</v>
      </c>
      <c r="P527" s="31">
        <v>0</v>
      </c>
      <c r="Q527" s="31">
        <v>0</v>
      </c>
      <c r="R527" s="31">
        <v>0</v>
      </c>
      <c r="S527" s="31">
        <v>0</v>
      </c>
      <c r="T527" s="31">
        <v>0</v>
      </c>
      <c r="U527" s="31">
        <v>0</v>
      </c>
      <c r="V527" s="31">
        <v>0</v>
      </c>
      <c r="W527" s="31">
        <v>0</v>
      </c>
      <c r="X527" s="31">
        <v>0</v>
      </c>
      <c r="Y527" s="31">
        <v>0</v>
      </c>
      <c r="Z527" s="31">
        <v>0</v>
      </c>
      <c r="AA527" s="31">
        <v>0</v>
      </c>
      <c r="AB527" s="31">
        <v>0</v>
      </c>
      <c r="AC527" s="31">
        <f>ROUND(N527*1.5%,2)</f>
        <v>46851.45</v>
      </c>
      <c r="AD527" s="31">
        <v>0</v>
      </c>
      <c r="AE527" s="31">
        <v>0</v>
      </c>
      <c r="AF527" s="34" t="s">
        <v>274</v>
      </c>
      <c r="AG527" s="34">
        <v>2020</v>
      </c>
      <c r="AH527" s="35">
        <v>2020</v>
      </c>
      <c r="AT527" s="20" t="e">
        <f>VLOOKUP(C527,AW:AX,2,FALSE)</f>
        <v>#N/A</v>
      </c>
      <c r="BZ527" s="71"/>
      <c r="CD527" s="20">
        <f t="shared" si="91"/>
        <v>578.4</v>
      </c>
    </row>
    <row r="528" spans="1:82" ht="61.5" x14ac:dyDescent="0.85">
      <c r="A528" s="20">
        <v>1</v>
      </c>
      <c r="B528" s="66">
        <f>SUBTOTAL(103,$A$22:A528)</f>
        <v>446</v>
      </c>
      <c r="C528" s="24" t="s">
        <v>1597</v>
      </c>
      <c r="D528" s="31">
        <f>E528+F528+G528+H528+I528+J528+L528+N528+P528+R528+T528+U528+V528+W528+X528+Y528+Z528+AA528+AB528+AC528+AD528+AE528</f>
        <v>5786804.4800000004</v>
      </c>
      <c r="E528" s="31">
        <v>0</v>
      </c>
      <c r="F528" s="31">
        <v>0</v>
      </c>
      <c r="G528" s="31">
        <v>0</v>
      </c>
      <c r="H528" s="31">
        <v>0</v>
      </c>
      <c r="I528" s="31">
        <v>0</v>
      </c>
      <c r="J528" s="31">
        <v>0</v>
      </c>
      <c r="K528" s="33">
        <v>0</v>
      </c>
      <c r="L528" s="31">
        <v>0</v>
      </c>
      <c r="M528" s="31">
        <v>0</v>
      </c>
      <c r="N528" s="31">
        <v>0</v>
      </c>
      <c r="O528" s="31">
        <v>0</v>
      </c>
      <c r="P528" s="31">
        <v>0</v>
      </c>
      <c r="Q528" s="31">
        <v>2869</v>
      </c>
      <c r="R528" s="31">
        <f>5534366.03+167340.48</f>
        <v>5701706.5100000007</v>
      </c>
      <c r="S528" s="31">
        <v>0</v>
      </c>
      <c r="T528" s="31">
        <v>0</v>
      </c>
      <c r="U528" s="31">
        <v>0</v>
      </c>
      <c r="V528" s="31">
        <v>0</v>
      </c>
      <c r="W528" s="31">
        <v>0</v>
      </c>
      <c r="X528" s="31">
        <v>0</v>
      </c>
      <c r="Y528" s="31">
        <v>0</v>
      </c>
      <c r="Z528" s="31">
        <v>0</v>
      </c>
      <c r="AA528" s="31">
        <v>0</v>
      </c>
      <c r="AB528" s="31">
        <v>0</v>
      </c>
      <c r="AC528" s="31">
        <f>ROUND(R528*1.4925%,2)</f>
        <v>85097.97</v>
      </c>
      <c r="AD528" s="31">
        <v>0</v>
      </c>
      <c r="AE528" s="31">
        <v>0</v>
      </c>
      <c r="AF528" s="34" t="s">
        <v>274</v>
      </c>
      <c r="AG528" s="34">
        <v>2020</v>
      </c>
      <c r="AH528" s="35">
        <v>2020</v>
      </c>
      <c r="BZ528" s="71"/>
      <c r="CD528" s="20" t="e">
        <f t="shared" si="91"/>
        <v>#N/A</v>
      </c>
    </row>
    <row r="529" spans="1:82" ht="61.5" x14ac:dyDescent="0.85">
      <c r="B529" s="24" t="s">
        <v>886</v>
      </c>
      <c r="C529" s="24"/>
      <c r="D529" s="31">
        <f t="shared" ref="D529:AE529" si="110">D530</f>
        <v>2644709.0300000003</v>
      </c>
      <c r="E529" s="31">
        <f t="shared" si="110"/>
        <v>0</v>
      </c>
      <c r="F529" s="31">
        <f t="shared" si="110"/>
        <v>0</v>
      </c>
      <c r="G529" s="31">
        <f t="shared" si="110"/>
        <v>0</v>
      </c>
      <c r="H529" s="31">
        <f t="shared" si="110"/>
        <v>0</v>
      </c>
      <c r="I529" s="31">
        <f t="shared" si="110"/>
        <v>0</v>
      </c>
      <c r="J529" s="31">
        <f t="shared" si="110"/>
        <v>0</v>
      </c>
      <c r="K529" s="33">
        <f t="shared" si="110"/>
        <v>0</v>
      </c>
      <c r="L529" s="31">
        <f t="shared" si="110"/>
        <v>0</v>
      </c>
      <c r="M529" s="31">
        <f t="shared" si="110"/>
        <v>378</v>
      </c>
      <c r="N529" s="31">
        <f t="shared" si="110"/>
        <v>2487398.06</v>
      </c>
      <c r="O529" s="31">
        <f t="shared" si="110"/>
        <v>0</v>
      </c>
      <c r="P529" s="31">
        <f t="shared" si="110"/>
        <v>0</v>
      </c>
      <c r="Q529" s="31">
        <f t="shared" si="110"/>
        <v>0</v>
      </c>
      <c r="R529" s="31">
        <f t="shared" si="110"/>
        <v>0</v>
      </c>
      <c r="S529" s="31">
        <f t="shared" si="110"/>
        <v>0</v>
      </c>
      <c r="T529" s="31">
        <f t="shared" si="110"/>
        <v>0</v>
      </c>
      <c r="U529" s="31">
        <f t="shared" si="110"/>
        <v>0</v>
      </c>
      <c r="V529" s="31">
        <f t="shared" si="110"/>
        <v>0</v>
      </c>
      <c r="W529" s="31">
        <f t="shared" si="110"/>
        <v>0</v>
      </c>
      <c r="X529" s="31">
        <f t="shared" si="110"/>
        <v>0</v>
      </c>
      <c r="Y529" s="31">
        <f t="shared" si="110"/>
        <v>0</v>
      </c>
      <c r="Z529" s="31">
        <f t="shared" si="110"/>
        <v>0</v>
      </c>
      <c r="AA529" s="31">
        <f t="shared" si="110"/>
        <v>0</v>
      </c>
      <c r="AB529" s="31">
        <f t="shared" si="110"/>
        <v>0</v>
      </c>
      <c r="AC529" s="31">
        <f t="shared" si="110"/>
        <v>37310.97</v>
      </c>
      <c r="AD529" s="31">
        <f t="shared" si="110"/>
        <v>120000</v>
      </c>
      <c r="AE529" s="31">
        <f t="shared" si="110"/>
        <v>0</v>
      </c>
      <c r="AF529" s="72" t="s">
        <v>776</v>
      </c>
      <c r="AG529" s="72" t="s">
        <v>776</v>
      </c>
      <c r="AH529" s="89" t="s">
        <v>776</v>
      </c>
      <c r="AT529" s="20" t="e">
        <f>VLOOKUP(C529,AW:AX,2,FALSE)</f>
        <v>#N/A</v>
      </c>
      <c r="BZ529" s="71">
        <v>2733218.92</v>
      </c>
      <c r="CB529" s="71">
        <f>BZ529-D529</f>
        <v>88509.889999999665</v>
      </c>
      <c r="CD529" s="20" t="e">
        <f t="shared" si="91"/>
        <v>#N/A</v>
      </c>
    </row>
    <row r="530" spans="1:82" ht="61.5" x14ac:dyDescent="0.85">
      <c r="A530" s="20">
        <v>1</v>
      </c>
      <c r="B530" s="66">
        <f>SUBTOTAL(103,$A$22:A530)</f>
        <v>447</v>
      </c>
      <c r="C530" s="24" t="s">
        <v>190</v>
      </c>
      <c r="D530" s="31">
        <f>E530+F530+G530+H530+I530+J530+L530+N530+P530+R530+T530+U530+V530+W530+X530+Y530+Z530+AA530+AB530+AC530+AD530+AE530</f>
        <v>2644709.0300000003</v>
      </c>
      <c r="E530" s="31">
        <v>0</v>
      </c>
      <c r="F530" s="31">
        <v>0</v>
      </c>
      <c r="G530" s="31">
        <v>0</v>
      </c>
      <c r="H530" s="31">
        <v>0</v>
      </c>
      <c r="I530" s="31">
        <v>0</v>
      </c>
      <c r="J530" s="31">
        <v>0</v>
      </c>
      <c r="K530" s="33">
        <v>0</v>
      </c>
      <c r="L530" s="31">
        <v>0</v>
      </c>
      <c r="M530" s="31">
        <v>378</v>
      </c>
      <c r="N530" s="31">
        <f>2087586.21+460440.39+26573.32-87201.86</f>
        <v>2487398.06</v>
      </c>
      <c r="O530" s="31">
        <v>0</v>
      </c>
      <c r="P530" s="31">
        <v>0</v>
      </c>
      <c r="Q530" s="31">
        <v>0</v>
      </c>
      <c r="R530" s="31">
        <v>0</v>
      </c>
      <c r="S530" s="31">
        <v>0</v>
      </c>
      <c r="T530" s="31">
        <v>0</v>
      </c>
      <c r="U530" s="31">
        <v>0</v>
      </c>
      <c r="V530" s="31">
        <v>0</v>
      </c>
      <c r="W530" s="31">
        <v>0</v>
      </c>
      <c r="X530" s="31">
        <v>0</v>
      </c>
      <c r="Y530" s="31">
        <v>0</v>
      </c>
      <c r="Z530" s="31">
        <v>0</v>
      </c>
      <c r="AA530" s="31">
        <v>0</v>
      </c>
      <c r="AB530" s="31">
        <v>0</v>
      </c>
      <c r="AC530" s="31">
        <f>ROUND(N530*1.5%,2)</f>
        <v>37310.97</v>
      </c>
      <c r="AD530" s="31">
        <v>120000</v>
      </c>
      <c r="AE530" s="31">
        <v>0</v>
      </c>
      <c r="AF530" s="34">
        <v>2020</v>
      </c>
      <c r="AG530" s="34">
        <v>2020</v>
      </c>
      <c r="AH530" s="35">
        <v>2020</v>
      </c>
      <c r="AT530" s="20" t="e">
        <f>VLOOKUP(C530,AW:AX,2,FALSE)</f>
        <v>#N/A</v>
      </c>
      <c r="BZ530" s="71"/>
      <c r="CD530" s="20">
        <f t="shared" si="91"/>
        <v>378</v>
      </c>
    </row>
    <row r="531" spans="1:82" ht="61.5" x14ac:dyDescent="0.85">
      <c r="B531" s="24" t="s">
        <v>887</v>
      </c>
      <c r="C531" s="166"/>
      <c r="D531" s="31">
        <f>SUM(D532:D539)</f>
        <v>18641834.120000001</v>
      </c>
      <c r="E531" s="31">
        <f t="shared" ref="E531:AE531" si="111">SUM(E532:E539)</f>
        <v>0</v>
      </c>
      <c r="F531" s="31">
        <f t="shared" si="111"/>
        <v>0</v>
      </c>
      <c r="G531" s="31">
        <f t="shared" si="111"/>
        <v>12355559.530000001</v>
      </c>
      <c r="H531" s="31">
        <f t="shared" si="111"/>
        <v>0</v>
      </c>
      <c r="I531" s="31">
        <f t="shared" si="111"/>
        <v>0</v>
      </c>
      <c r="J531" s="31">
        <f t="shared" si="111"/>
        <v>0</v>
      </c>
      <c r="K531" s="33">
        <f t="shared" si="111"/>
        <v>0</v>
      </c>
      <c r="L531" s="31">
        <f t="shared" si="111"/>
        <v>0</v>
      </c>
      <c r="M531" s="31">
        <f t="shared" si="111"/>
        <v>1057.07</v>
      </c>
      <c r="N531" s="31">
        <f t="shared" si="111"/>
        <v>5666305.4199999999</v>
      </c>
      <c r="O531" s="31">
        <f t="shared" si="111"/>
        <v>0</v>
      </c>
      <c r="P531" s="31">
        <f t="shared" si="111"/>
        <v>0</v>
      </c>
      <c r="Q531" s="31">
        <f t="shared" si="111"/>
        <v>0</v>
      </c>
      <c r="R531" s="31">
        <f t="shared" si="111"/>
        <v>0</v>
      </c>
      <c r="S531" s="31">
        <f t="shared" si="111"/>
        <v>0</v>
      </c>
      <c r="T531" s="31">
        <f t="shared" si="111"/>
        <v>0</v>
      </c>
      <c r="U531" s="31">
        <f t="shared" si="111"/>
        <v>0</v>
      </c>
      <c r="V531" s="31">
        <f t="shared" si="111"/>
        <v>0</v>
      </c>
      <c r="W531" s="31">
        <f t="shared" si="111"/>
        <v>0</v>
      </c>
      <c r="X531" s="31">
        <f t="shared" si="111"/>
        <v>0</v>
      </c>
      <c r="Y531" s="31">
        <f t="shared" si="111"/>
        <v>0</v>
      </c>
      <c r="Z531" s="31">
        <f t="shared" si="111"/>
        <v>0</v>
      </c>
      <c r="AA531" s="31">
        <f t="shared" si="111"/>
        <v>0</v>
      </c>
      <c r="AB531" s="31">
        <f t="shared" si="111"/>
        <v>0</v>
      </c>
      <c r="AC531" s="31">
        <f t="shared" si="111"/>
        <v>270327.98</v>
      </c>
      <c r="AD531" s="31">
        <f t="shared" si="111"/>
        <v>349641.19</v>
      </c>
      <c r="AE531" s="31">
        <f t="shared" si="111"/>
        <v>0</v>
      </c>
      <c r="AF531" s="72" t="s">
        <v>776</v>
      </c>
      <c r="AG531" s="72" t="s">
        <v>776</v>
      </c>
      <c r="AH531" s="89" t="s">
        <v>776</v>
      </c>
      <c r="AT531" s="20" t="e">
        <f>VLOOKUP(C531,AW:AX,2,FALSE)</f>
        <v>#N/A</v>
      </c>
      <c r="BZ531" s="71">
        <v>18660147.93</v>
      </c>
      <c r="CB531" s="71">
        <f>BZ531-D531</f>
        <v>18313.809999998659</v>
      </c>
      <c r="CD531" s="20" t="e">
        <f t="shared" si="91"/>
        <v>#N/A</v>
      </c>
    </row>
    <row r="532" spans="1:82" ht="61.5" x14ac:dyDescent="0.85">
      <c r="A532" s="20">
        <v>1</v>
      </c>
      <c r="B532" s="66">
        <f>SUBTOTAL(103,$A$22:A532)</f>
        <v>448</v>
      </c>
      <c r="C532" s="24" t="s">
        <v>221</v>
      </c>
      <c r="D532" s="31">
        <f t="shared" ref="D532:D539" si="112">E532+F532+G532+H532+I532+J532+L532+N532+P532+R532+T532+U532+V532+W532+X532+Y532+Z532+AA532+AB532+AC532+AD532+AE532</f>
        <v>5899949.1799999997</v>
      </c>
      <c r="E532" s="31">
        <v>0</v>
      </c>
      <c r="F532" s="31">
        <v>0</v>
      </c>
      <c r="G532" s="31">
        <v>0</v>
      </c>
      <c r="H532" s="31">
        <v>0</v>
      </c>
      <c r="I532" s="31">
        <v>0</v>
      </c>
      <c r="J532" s="31">
        <v>0</v>
      </c>
      <c r="K532" s="33">
        <v>0</v>
      </c>
      <c r="L532" s="31">
        <v>0</v>
      </c>
      <c r="M532" s="31">
        <v>1057.07</v>
      </c>
      <c r="N532" s="31">
        <v>5666305.4199999999</v>
      </c>
      <c r="O532" s="31">
        <v>0</v>
      </c>
      <c r="P532" s="31">
        <v>0</v>
      </c>
      <c r="Q532" s="31">
        <v>0</v>
      </c>
      <c r="R532" s="31">
        <v>0</v>
      </c>
      <c r="S532" s="31">
        <v>0</v>
      </c>
      <c r="T532" s="31">
        <v>0</v>
      </c>
      <c r="U532" s="31">
        <v>0</v>
      </c>
      <c r="V532" s="31">
        <v>0</v>
      </c>
      <c r="W532" s="31">
        <v>0</v>
      </c>
      <c r="X532" s="31">
        <v>0</v>
      </c>
      <c r="Y532" s="31">
        <v>0</v>
      </c>
      <c r="Z532" s="31">
        <v>0</v>
      </c>
      <c r="AA532" s="31">
        <v>0</v>
      </c>
      <c r="AB532" s="31">
        <v>0</v>
      </c>
      <c r="AC532" s="31">
        <f>ROUND(N532*1.5%,2)</f>
        <v>84994.58</v>
      </c>
      <c r="AD532" s="31">
        <f>156962.99+10000-17768.46-545.35</f>
        <v>148649.18</v>
      </c>
      <c r="AE532" s="31">
        <v>0</v>
      </c>
      <c r="AF532" s="34">
        <v>2020</v>
      </c>
      <c r="AG532" s="34">
        <v>2020</v>
      </c>
      <c r="AH532" s="35">
        <v>2020</v>
      </c>
      <c r="AT532" s="20" t="e">
        <f>VLOOKUP(C532,AW:AX,2,FALSE)</f>
        <v>#N/A</v>
      </c>
      <c r="BZ532" s="71"/>
      <c r="CD532" s="20">
        <f t="shared" si="91"/>
        <v>1057.07</v>
      </c>
    </row>
    <row r="533" spans="1:82" ht="61.5" x14ac:dyDescent="0.85">
      <c r="A533" s="20">
        <v>1</v>
      </c>
      <c r="B533" s="66">
        <f>SUBTOTAL(103,$A$22:A533)</f>
        <v>449</v>
      </c>
      <c r="C533" s="24" t="s">
        <v>222</v>
      </c>
      <c r="D533" s="31">
        <f t="shared" si="112"/>
        <v>706896.33000000007</v>
      </c>
      <c r="E533" s="31">
        <v>0</v>
      </c>
      <c r="F533" s="31">
        <v>0</v>
      </c>
      <c r="G533" s="31">
        <f>378568.09+265628.28</f>
        <v>644196.37000000011</v>
      </c>
      <c r="H533" s="31">
        <v>0</v>
      </c>
      <c r="I533" s="31">
        <v>0</v>
      </c>
      <c r="J533" s="31">
        <v>0</v>
      </c>
      <c r="K533" s="33">
        <v>0</v>
      </c>
      <c r="L533" s="31">
        <v>0</v>
      </c>
      <c r="M533" s="31">
        <v>0</v>
      </c>
      <c r="N533" s="31">
        <v>0</v>
      </c>
      <c r="O533" s="31">
        <v>0</v>
      </c>
      <c r="P533" s="31">
        <v>0</v>
      </c>
      <c r="Q533" s="31">
        <v>0</v>
      </c>
      <c r="R533" s="31">
        <v>0</v>
      </c>
      <c r="S533" s="31">
        <v>0</v>
      </c>
      <c r="T533" s="31">
        <v>0</v>
      </c>
      <c r="U533" s="31">
        <v>0</v>
      </c>
      <c r="V533" s="31">
        <v>0</v>
      </c>
      <c r="W533" s="31">
        <v>0</v>
      </c>
      <c r="X533" s="31">
        <v>0</v>
      </c>
      <c r="Y533" s="31">
        <v>0</v>
      </c>
      <c r="Z533" s="31">
        <v>0</v>
      </c>
      <c r="AA533" s="31">
        <v>0</v>
      </c>
      <c r="AB533" s="31">
        <v>0</v>
      </c>
      <c r="AC533" s="31">
        <f t="shared" ref="AC533:AC539" si="113">ROUND((E533+F533+G533+H533+I533+J533)*1.5%,2)</f>
        <v>9662.9500000000007</v>
      </c>
      <c r="AD533" s="31">
        <f>46664.6+6372.41</f>
        <v>53037.009999999995</v>
      </c>
      <c r="AE533" s="31">
        <v>0</v>
      </c>
      <c r="AF533" s="34">
        <v>2020</v>
      </c>
      <c r="AG533" s="34">
        <v>2020</v>
      </c>
      <c r="AH533" s="35">
        <v>2020</v>
      </c>
      <c r="AT533" s="20" t="e">
        <f>VLOOKUP(C533,AW:AX,2,FALSE)</f>
        <v>#N/A</v>
      </c>
      <c r="BZ533" s="71"/>
      <c r="CD533" s="20" t="e">
        <f t="shared" si="91"/>
        <v>#N/A</v>
      </c>
    </row>
    <row r="534" spans="1:82" ht="61.5" x14ac:dyDescent="0.85">
      <c r="A534" s="20">
        <v>1</v>
      </c>
      <c r="B534" s="66">
        <f>SUBTOTAL(103,$A$22:A534)</f>
        <v>450</v>
      </c>
      <c r="C534" s="24" t="s">
        <v>1303</v>
      </c>
      <c r="D534" s="31">
        <f t="shared" si="112"/>
        <v>3239861.98</v>
      </c>
      <c r="E534" s="31">
        <v>0</v>
      </c>
      <c r="F534" s="31">
        <v>0</v>
      </c>
      <c r="G534" s="31">
        <v>3191982.25</v>
      </c>
      <c r="H534" s="31">
        <v>0</v>
      </c>
      <c r="I534" s="31">
        <v>0</v>
      </c>
      <c r="J534" s="31">
        <v>0</v>
      </c>
      <c r="K534" s="33">
        <v>0</v>
      </c>
      <c r="L534" s="31">
        <v>0</v>
      </c>
      <c r="M534" s="31">
        <v>0</v>
      </c>
      <c r="N534" s="31">
        <v>0</v>
      </c>
      <c r="O534" s="31">
        <v>0</v>
      </c>
      <c r="P534" s="31">
        <v>0</v>
      </c>
      <c r="Q534" s="31">
        <v>0</v>
      </c>
      <c r="R534" s="31">
        <v>0</v>
      </c>
      <c r="S534" s="31">
        <v>0</v>
      </c>
      <c r="T534" s="31">
        <v>0</v>
      </c>
      <c r="U534" s="31">
        <v>0</v>
      </c>
      <c r="V534" s="31">
        <v>0</v>
      </c>
      <c r="W534" s="31">
        <v>0</v>
      </c>
      <c r="X534" s="31">
        <v>0</v>
      </c>
      <c r="Y534" s="31">
        <v>0</v>
      </c>
      <c r="Z534" s="31">
        <v>0</v>
      </c>
      <c r="AA534" s="31">
        <v>0</v>
      </c>
      <c r="AB534" s="31">
        <v>0</v>
      </c>
      <c r="AC534" s="31">
        <f t="shared" si="113"/>
        <v>47879.73</v>
      </c>
      <c r="AD534" s="31">
        <v>0</v>
      </c>
      <c r="AE534" s="31">
        <v>0</v>
      </c>
      <c r="AF534" s="34" t="s">
        <v>274</v>
      </c>
      <c r="AG534" s="34">
        <v>2020</v>
      </c>
      <c r="AH534" s="35">
        <v>2020</v>
      </c>
      <c r="BZ534" s="71"/>
      <c r="CD534" s="20" t="e">
        <f t="shared" si="91"/>
        <v>#N/A</v>
      </c>
    </row>
    <row r="535" spans="1:82" ht="61.5" x14ac:dyDescent="0.85">
      <c r="A535" s="20">
        <v>1</v>
      </c>
      <c r="B535" s="66">
        <f>SUBTOTAL(103,$A$22:A535)</f>
        <v>451</v>
      </c>
      <c r="C535" s="24" t="s">
        <v>1304</v>
      </c>
      <c r="D535" s="31">
        <f t="shared" si="112"/>
        <v>2323778.17</v>
      </c>
      <c r="E535" s="31">
        <v>0</v>
      </c>
      <c r="F535" s="31">
        <v>0</v>
      </c>
      <c r="G535" s="31">
        <v>2289436.62</v>
      </c>
      <c r="H535" s="31">
        <v>0</v>
      </c>
      <c r="I535" s="31">
        <v>0</v>
      </c>
      <c r="J535" s="31">
        <v>0</v>
      </c>
      <c r="K535" s="33">
        <v>0</v>
      </c>
      <c r="L535" s="31">
        <v>0</v>
      </c>
      <c r="M535" s="31">
        <v>0</v>
      </c>
      <c r="N535" s="31">
        <v>0</v>
      </c>
      <c r="O535" s="31">
        <v>0</v>
      </c>
      <c r="P535" s="31">
        <v>0</v>
      </c>
      <c r="Q535" s="31">
        <v>0</v>
      </c>
      <c r="R535" s="31">
        <v>0</v>
      </c>
      <c r="S535" s="31">
        <v>0</v>
      </c>
      <c r="T535" s="31">
        <v>0</v>
      </c>
      <c r="U535" s="31">
        <v>0</v>
      </c>
      <c r="V535" s="31">
        <v>0</v>
      </c>
      <c r="W535" s="31">
        <v>0</v>
      </c>
      <c r="X535" s="31">
        <v>0</v>
      </c>
      <c r="Y535" s="31">
        <v>0</v>
      </c>
      <c r="Z535" s="31">
        <v>0</v>
      </c>
      <c r="AA535" s="31">
        <v>0</v>
      </c>
      <c r="AB535" s="31">
        <v>0</v>
      </c>
      <c r="AC535" s="31">
        <f t="shared" si="113"/>
        <v>34341.550000000003</v>
      </c>
      <c r="AD535" s="31">
        <v>0</v>
      </c>
      <c r="AE535" s="31">
        <v>0</v>
      </c>
      <c r="AF535" s="34" t="s">
        <v>274</v>
      </c>
      <c r="AG535" s="34">
        <v>2020</v>
      </c>
      <c r="AH535" s="35">
        <v>2020</v>
      </c>
      <c r="BZ535" s="71"/>
      <c r="CD535" s="20" t="e">
        <f t="shared" ref="CD535:CD598" si="114">VLOOKUP(C535,CE:CF,2,FALSE)</f>
        <v>#N/A</v>
      </c>
    </row>
    <row r="536" spans="1:82" ht="61.5" x14ac:dyDescent="0.85">
      <c r="A536" s="20">
        <v>1</v>
      </c>
      <c r="B536" s="66">
        <f>SUBTOTAL(103,$A$22:A536)</f>
        <v>452</v>
      </c>
      <c r="C536" s="24" t="s">
        <v>1305</v>
      </c>
      <c r="D536" s="31">
        <f t="shared" si="112"/>
        <v>2168498.14</v>
      </c>
      <c r="E536" s="31">
        <v>0</v>
      </c>
      <c r="F536" s="31">
        <v>0</v>
      </c>
      <c r="G536" s="31">
        <v>2136451.37</v>
      </c>
      <c r="H536" s="31">
        <v>0</v>
      </c>
      <c r="I536" s="31">
        <v>0</v>
      </c>
      <c r="J536" s="31">
        <v>0</v>
      </c>
      <c r="K536" s="33">
        <v>0</v>
      </c>
      <c r="L536" s="31">
        <v>0</v>
      </c>
      <c r="M536" s="31">
        <v>0</v>
      </c>
      <c r="N536" s="31">
        <v>0</v>
      </c>
      <c r="O536" s="31">
        <v>0</v>
      </c>
      <c r="P536" s="31">
        <v>0</v>
      </c>
      <c r="Q536" s="31">
        <v>0</v>
      </c>
      <c r="R536" s="31">
        <v>0</v>
      </c>
      <c r="S536" s="31">
        <v>0</v>
      </c>
      <c r="T536" s="31">
        <v>0</v>
      </c>
      <c r="U536" s="31">
        <v>0</v>
      </c>
      <c r="V536" s="31">
        <v>0</v>
      </c>
      <c r="W536" s="31">
        <v>0</v>
      </c>
      <c r="X536" s="31">
        <v>0</v>
      </c>
      <c r="Y536" s="31">
        <v>0</v>
      </c>
      <c r="Z536" s="31">
        <v>0</v>
      </c>
      <c r="AA536" s="31">
        <v>0</v>
      </c>
      <c r="AB536" s="31">
        <v>0</v>
      </c>
      <c r="AC536" s="31">
        <f t="shared" si="113"/>
        <v>32046.77</v>
      </c>
      <c r="AD536" s="31">
        <v>0</v>
      </c>
      <c r="AE536" s="31">
        <v>0</v>
      </c>
      <c r="AF536" s="34" t="s">
        <v>274</v>
      </c>
      <c r="AG536" s="34">
        <v>2020</v>
      </c>
      <c r="AH536" s="35">
        <v>2020</v>
      </c>
      <c r="BZ536" s="71"/>
      <c r="CD536" s="20" t="e">
        <f t="shared" si="114"/>
        <v>#N/A</v>
      </c>
    </row>
    <row r="537" spans="1:82" ht="61.5" x14ac:dyDescent="0.85">
      <c r="A537" s="20">
        <v>1</v>
      </c>
      <c r="B537" s="66">
        <f>SUBTOTAL(103,$A$22:A537)</f>
        <v>453</v>
      </c>
      <c r="C537" s="24" t="s">
        <v>1306</v>
      </c>
      <c r="D537" s="31">
        <f t="shared" si="112"/>
        <v>2920505.33</v>
      </c>
      <c r="E537" s="31">
        <v>0</v>
      </c>
      <c r="F537" s="31">
        <v>0</v>
      </c>
      <c r="G537" s="31">
        <v>2877345.15</v>
      </c>
      <c r="H537" s="31">
        <v>0</v>
      </c>
      <c r="I537" s="31">
        <v>0</v>
      </c>
      <c r="J537" s="31">
        <v>0</v>
      </c>
      <c r="K537" s="33">
        <v>0</v>
      </c>
      <c r="L537" s="31">
        <v>0</v>
      </c>
      <c r="M537" s="31">
        <v>0</v>
      </c>
      <c r="N537" s="31">
        <v>0</v>
      </c>
      <c r="O537" s="31">
        <v>0</v>
      </c>
      <c r="P537" s="31">
        <v>0</v>
      </c>
      <c r="Q537" s="31">
        <v>0</v>
      </c>
      <c r="R537" s="31">
        <v>0</v>
      </c>
      <c r="S537" s="31">
        <v>0</v>
      </c>
      <c r="T537" s="31">
        <v>0</v>
      </c>
      <c r="U537" s="31">
        <v>0</v>
      </c>
      <c r="V537" s="31">
        <v>0</v>
      </c>
      <c r="W537" s="31">
        <v>0</v>
      </c>
      <c r="X537" s="31">
        <v>0</v>
      </c>
      <c r="Y537" s="31">
        <v>0</v>
      </c>
      <c r="Z537" s="31">
        <v>0</v>
      </c>
      <c r="AA537" s="31">
        <v>0</v>
      </c>
      <c r="AB537" s="31">
        <v>0</v>
      </c>
      <c r="AC537" s="31">
        <f t="shared" si="113"/>
        <v>43160.18</v>
      </c>
      <c r="AD537" s="31">
        <v>0</v>
      </c>
      <c r="AE537" s="31">
        <v>0</v>
      </c>
      <c r="AF537" s="34" t="s">
        <v>274</v>
      </c>
      <c r="AG537" s="34">
        <v>2020</v>
      </c>
      <c r="AH537" s="35">
        <v>2020</v>
      </c>
      <c r="BZ537" s="71"/>
      <c r="CD537" s="20" t="e">
        <f t="shared" si="114"/>
        <v>#N/A</v>
      </c>
    </row>
    <row r="538" spans="1:82" ht="61.5" x14ac:dyDescent="0.85">
      <c r="A538" s="20">
        <v>1</v>
      </c>
      <c r="B538" s="66">
        <f>SUBTOTAL(103,$A$22:A538)</f>
        <v>454</v>
      </c>
      <c r="C538" s="24" t="s">
        <v>1611</v>
      </c>
      <c r="D538" s="31">
        <f t="shared" si="112"/>
        <v>656055</v>
      </c>
      <c r="E538" s="31">
        <v>0</v>
      </c>
      <c r="F538" s="31">
        <v>0</v>
      </c>
      <c r="G538" s="31">
        <f>580000-13837.44</f>
        <v>566162.56000000006</v>
      </c>
      <c r="H538" s="31">
        <v>0</v>
      </c>
      <c r="I538" s="31">
        <v>0</v>
      </c>
      <c r="J538" s="31">
        <v>0</v>
      </c>
      <c r="K538" s="33">
        <v>0</v>
      </c>
      <c r="L538" s="31">
        <v>0</v>
      </c>
      <c r="M538" s="31">
        <v>0</v>
      </c>
      <c r="N538" s="31">
        <v>0</v>
      </c>
      <c r="O538" s="31">
        <v>0</v>
      </c>
      <c r="P538" s="31">
        <v>0</v>
      </c>
      <c r="Q538" s="31">
        <v>0</v>
      </c>
      <c r="R538" s="31">
        <v>0</v>
      </c>
      <c r="S538" s="31">
        <v>0</v>
      </c>
      <c r="T538" s="31">
        <v>0</v>
      </c>
      <c r="U538" s="31">
        <v>0</v>
      </c>
      <c r="V538" s="31">
        <v>0</v>
      </c>
      <c r="W538" s="31">
        <v>0</v>
      </c>
      <c r="X538" s="31">
        <v>0</v>
      </c>
      <c r="Y538" s="31">
        <v>0</v>
      </c>
      <c r="Z538" s="31">
        <v>0</v>
      </c>
      <c r="AA538" s="31">
        <v>0</v>
      </c>
      <c r="AB538" s="31">
        <v>0</v>
      </c>
      <c r="AC538" s="31">
        <f t="shared" si="113"/>
        <v>8492.44</v>
      </c>
      <c r="AD538" s="31">
        <v>81400</v>
      </c>
      <c r="AE538" s="31">
        <v>0</v>
      </c>
      <c r="AF538" s="34">
        <v>2020</v>
      </c>
      <c r="AG538" s="34">
        <v>2020</v>
      </c>
      <c r="AH538" s="35">
        <v>2020</v>
      </c>
      <c r="BZ538" s="71"/>
      <c r="CD538" s="20" t="e">
        <f t="shared" si="114"/>
        <v>#N/A</v>
      </c>
    </row>
    <row r="539" spans="1:82" ht="61.5" x14ac:dyDescent="0.85">
      <c r="A539" s="20">
        <v>1</v>
      </c>
      <c r="B539" s="66">
        <f>SUBTOTAL(103,$A$22:A539)</f>
        <v>455</v>
      </c>
      <c r="C539" s="24" t="s">
        <v>1612</v>
      </c>
      <c r="D539" s="31">
        <f t="shared" si="112"/>
        <v>726289.99</v>
      </c>
      <c r="E539" s="31">
        <v>0</v>
      </c>
      <c r="F539" s="31">
        <v>0</v>
      </c>
      <c r="G539" s="31">
        <v>649985.21</v>
      </c>
      <c r="H539" s="31">
        <v>0</v>
      </c>
      <c r="I539" s="31">
        <v>0</v>
      </c>
      <c r="J539" s="31">
        <v>0</v>
      </c>
      <c r="K539" s="33">
        <v>0</v>
      </c>
      <c r="L539" s="31">
        <v>0</v>
      </c>
      <c r="M539" s="31">
        <v>0</v>
      </c>
      <c r="N539" s="31">
        <v>0</v>
      </c>
      <c r="O539" s="31">
        <v>0</v>
      </c>
      <c r="P539" s="31">
        <v>0</v>
      </c>
      <c r="Q539" s="31">
        <v>0</v>
      </c>
      <c r="R539" s="31">
        <v>0</v>
      </c>
      <c r="S539" s="31">
        <v>0</v>
      </c>
      <c r="T539" s="31">
        <v>0</v>
      </c>
      <c r="U539" s="31">
        <v>0</v>
      </c>
      <c r="V539" s="31">
        <v>0</v>
      </c>
      <c r="W539" s="31">
        <v>0</v>
      </c>
      <c r="X539" s="31">
        <v>0</v>
      </c>
      <c r="Y539" s="31">
        <v>0</v>
      </c>
      <c r="Z539" s="31">
        <v>0</v>
      </c>
      <c r="AA539" s="31">
        <v>0</v>
      </c>
      <c r="AB539" s="31">
        <v>0</v>
      </c>
      <c r="AC539" s="31">
        <f t="shared" si="113"/>
        <v>9749.7800000000007</v>
      </c>
      <c r="AD539" s="31">
        <f>70000-3045-400</f>
        <v>66555</v>
      </c>
      <c r="AE539" s="31">
        <v>0</v>
      </c>
      <c r="AF539" s="34">
        <v>2020</v>
      </c>
      <c r="AG539" s="34">
        <v>2020</v>
      </c>
      <c r="AH539" s="35">
        <v>2020</v>
      </c>
      <c r="BZ539" s="71"/>
      <c r="CD539" s="20" t="e">
        <f t="shared" si="114"/>
        <v>#N/A</v>
      </c>
    </row>
    <row r="540" spans="1:82" ht="61.5" x14ac:dyDescent="0.85">
      <c r="B540" s="24" t="s">
        <v>888</v>
      </c>
      <c r="C540" s="24"/>
      <c r="D540" s="31">
        <f>SUM(D541:D545)</f>
        <v>7944432.1499999994</v>
      </c>
      <c r="E540" s="31">
        <f t="shared" ref="E540:AE540" si="115">SUM(E541:E545)</f>
        <v>0</v>
      </c>
      <c r="F540" s="31">
        <f>SUM(F541:F545)</f>
        <v>0</v>
      </c>
      <c r="G540" s="31">
        <f t="shared" si="115"/>
        <v>0</v>
      </c>
      <c r="H540" s="31">
        <f t="shared" si="115"/>
        <v>440278.05</v>
      </c>
      <c r="I540" s="31">
        <f t="shared" si="115"/>
        <v>0</v>
      </c>
      <c r="J540" s="31">
        <f t="shared" si="115"/>
        <v>0</v>
      </c>
      <c r="K540" s="33">
        <f t="shared" si="115"/>
        <v>0</v>
      </c>
      <c r="L540" s="31">
        <f t="shared" si="115"/>
        <v>0</v>
      </c>
      <c r="M540" s="31">
        <f t="shared" si="115"/>
        <v>855.2</v>
      </c>
      <c r="N540" s="31">
        <f t="shared" si="115"/>
        <v>4374159.1999999993</v>
      </c>
      <c r="O540" s="31">
        <f t="shared" si="115"/>
        <v>0</v>
      </c>
      <c r="P540" s="31">
        <f t="shared" si="115"/>
        <v>0</v>
      </c>
      <c r="Q540" s="31">
        <f t="shared" si="115"/>
        <v>0</v>
      </c>
      <c r="R540" s="31">
        <f t="shared" si="115"/>
        <v>0</v>
      </c>
      <c r="S540" s="31">
        <f t="shared" si="115"/>
        <v>0</v>
      </c>
      <c r="T540" s="31">
        <f t="shared" si="115"/>
        <v>0</v>
      </c>
      <c r="U540" s="31">
        <f t="shared" si="115"/>
        <v>2700000</v>
      </c>
      <c r="V540" s="31">
        <f t="shared" si="115"/>
        <v>0</v>
      </c>
      <c r="W540" s="31">
        <f t="shared" si="115"/>
        <v>0</v>
      </c>
      <c r="X540" s="31">
        <f t="shared" si="115"/>
        <v>0</v>
      </c>
      <c r="Y540" s="31">
        <f t="shared" si="115"/>
        <v>0</v>
      </c>
      <c r="Z540" s="31">
        <f t="shared" si="115"/>
        <v>0</v>
      </c>
      <c r="AA540" s="31">
        <f t="shared" si="115"/>
        <v>0</v>
      </c>
      <c r="AB540" s="31">
        <f t="shared" si="115"/>
        <v>0</v>
      </c>
      <c r="AC540" s="31">
        <f t="shared" si="115"/>
        <v>112693.69</v>
      </c>
      <c r="AD540" s="31">
        <f t="shared" si="115"/>
        <v>317301.21000000002</v>
      </c>
      <c r="AE540" s="31">
        <f t="shared" si="115"/>
        <v>0</v>
      </c>
      <c r="AF540" s="72" t="s">
        <v>776</v>
      </c>
      <c r="AG540" s="72" t="s">
        <v>776</v>
      </c>
      <c r="AH540" s="89" t="s">
        <v>776</v>
      </c>
      <c r="AT540" s="20" t="e">
        <f>VLOOKUP(C540,AW:AX,2,FALSE)</f>
        <v>#N/A</v>
      </c>
      <c r="BZ540" s="71">
        <v>7944432.1499999994</v>
      </c>
      <c r="CD540" s="20" t="e">
        <f t="shared" si="114"/>
        <v>#N/A</v>
      </c>
    </row>
    <row r="541" spans="1:82" ht="61.5" x14ac:dyDescent="0.85">
      <c r="A541" s="20">
        <v>1</v>
      </c>
      <c r="B541" s="66">
        <f>SUBTOTAL(103,$A$22:A541)</f>
        <v>456</v>
      </c>
      <c r="C541" s="24" t="s">
        <v>224</v>
      </c>
      <c r="D541" s="31">
        <f>E541+F541+G541+H541+I541+J541+L541+N541+P541+R541+T541+U541+V541+W541+X541+Y541+Z541+AA541+AB541+AC541+AD541+AE541</f>
        <v>197289.34</v>
      </c>
      <c r="E541" s="31">
        <v>0</v>
      </c>
      <c r="F541" s="31">
        <v>0</v>
      </c>
      <c r="G541" s="31">
        <v>0</v>
      </c>
      <c r="H541" s="31">
        <v>135260.43</v>
      </c>
      <c r="I541" s="31">
        <v>0</v>
      </c>
      <c r="J541" s="31">
        <v>0</v>
      </c>
      <c r="K541" s="33">
        <v>0</v>
      </c>
      <c r="L541" s="31">
        <v>0</v>
      </c>
      <c r="M541" s="31">
        <v>0</v>
      </c>
      <c r="N541" s="31">
        <v>0</v>
      </c>
      <c r="O541" s="31">
        <v>0</v>
      </c>
      <c r="P541" s="31">
        <v>0</v>
      </c>
      <c r="Q541" s="31">
        <v>0</v>
      </c>
      <c r="R541" s="31">
        <v>0</v>
      </c>
      <c r="S541" s="31">
        <v>0</v>
      </c>
      <c r="T541" s="31">
        <v>0</v>
      </c>
      <c r="U541" s="31">
        <v>0</v>
      </c>
      <c r="V541" s="31">
        <v>0</v>
      </c>
      <c r="W541" s="31">
        <v>0</v>
      </c>
      <c r="X541" s="31">
        <v>0</v>
      </c>
      <c r="Y541" s="31">
        <v>0</v>
      </c>
      <c r="Z541" s="31">
        <v>0</v>
      </c>
      <c r="AA541" s="31">
        <v>0</v>
      </c>
      <c r="AB541" s="31">
        <v>0</v>
      </c>
      <c r="AC541" s="31">
        <f>ROUND((E541+F541+G541+H541+I541+J541)*1.5%,2)</f>
        <v>2028.91</v>
      </c>
      <c r="AD541" s="31">
        <v>60000</v>
      </c>
      <c r="AE541" s="31">
        <v>0</v>
      </c>
      <c r="AF541" s="34">
        <v>2020</v>
      </c>
      <c r="AG541" s="34">
        <v>2020</v>
      </c>
      <c r="AH541" s="35">
        <v>2020</v>
      </c>
      <c r="AT541" s="20" t="e">
        <f>VLOOKUP(C541,AW:AX,2,FALSE)</f>
        <v>#N/A</v>
      </c>
      <c r="BZ541" s="71"/>
      <c r="CD541" s="20" t="e">
        <f t="shared" si="114"/>
        <v>#N/A</v>
      </c>
    </row>
    <row r="542" spans="1:82" ht="61.5" x14ac:dyDescent="0.85">
      <c r="A542" s="20">
        <v>1</v>
      </c>
      <c r="B542" s="66">
        <f>SUBTOTAL(103,$A$22:A542)</f>
        <v>457</v>
      </c>
      <c r="C542" s="24" t="s">
        <v>225</v>
      </c>
      <c r="D542" s="31">
        <f>E542+F542+G542+H542+I542+J542+L542+N542+P542+R542+T542+U542+V542+W542+X542+Y542+Z542+AA542+AB542+AC542+AD542+AE542</f>
        <v>3074188.7199999997</v>
      </c>
      <c r="E542" s="31">
        <v>0</v>
      </c>
      <c r="F542" s="31">
        <v>0</v>
      </c>
      <c r="G542" s="31">
        <v>0</v>
      </c>
      <c r="H542" s="31">
        <v>0</v>
      </c>
      <c r="I542" s="31">
        <v>0</v>
      </c>
      <c r="J542" s="31">
        <v>0</v>
      </c>
      <c r="K542" s="33">
        <v>0</v>
      </c>
      <c r="L542" s="31">
        <v>0</v>
      </c>
      <c r="M542" s="31">
        <v>615.20000000000005</v>
      </c>
      <c r="N542" s="31">
        <v>2975144.42</v>
      </c>
      <c r="O542" s="31">
        <v>0</v>
      </c>
      <c r="P542" s="31">
        <v>0</v>
      </c>
      <c r="Q542" s="31">
        <v>0</v>
      </c>
      <c r="R542" s="31">
        <v>0</v>
      </c>
      <c r="S542" s="31">
        <v>0</v>
      </c>
      <c r="T542" s="31">
        <v>0</v>
      </c>
      <c r="U542" s="31">
        <v>0</v>
      </c>
      <c r="V542" s="31">
        <v>0</v>
      </c>
      <c r="W542" s="31">
        <v>0</v>
      </c>
      <c r="X542" s="31">
        <v>0</v>
      </c>
      <c r="Y542" s="31">
        <v>0</v>
      </c>
      <c r="Z542" s="31">
        <v>0</v>
      </c>
      <c r="AA542" s="31">
        <v>0</v>
      </c>
      <c r="AB542" s="31">
        <v>0</v>
      </c>
      <c r="AC542" s="31">
        <f>ROUND(N542*1.5%,2)</f>
        <v>44627.17</v>
      </c>
      <c r="AD542" s="31">
        <v>54417.13</v>
      </c>
      <c r="AE542" s="31">
        <v>0</v>
      </c>
      <c r="AF542" s="34">
        <v>2020</v>
      </c>
      <c r="AG542" s="34">
        <v>2020</v>
      </c>
      <c r="AH542" s="35">
        <v>2020</v>
      </c>
      <c r="AT542" s="20" t="e">
        <f>VLOOKUP(C542,AW:AX,2,FALSE)</f>
        <v>#N/A</v>
      </c>
      <c r="BZ542" s="71"/>
      <c r="CD542" s="20">
        <f t="shared" si="114"/>
        <v>615.20000000000005</v>
      </c>
    </row>
    <row r="543" spans="1:82" ht="61.5" x14ac:dyDescent="0.85">
      <c r="A543" s="20">
        <v>1</v>
      </c>
      <c r="B543" s="66">
        <f>SUBTOTAL(103,$A$22:A543)</f>
        <v>458</v>
      </c>
      <c r="C543" s="24" t="s">
        <v>230</v>
      </c>
      <c r="D543" s="31">
        <f>E543+F543+G543+H543+I543+J543+L543+N543+P543+R543+T543+U543+V543+W543+X543+Y543+Z543+AA543+AB543+AC543+AD543+AE543</f>
        <v>2853384.08</v>
      </c>
      <c r="E543" s="31">
        <v>0</v>
      </c>
      <c r="F543" s="31">
        <v>0</v>
      </c>
      <c r="G543" s="31">
        <v>0</v>
      </c>
      <c r="H543" s="31">
        <v>0</v>
      </c>
      <c r="I543" s="31">
        <v>0</v>
      </c>
      <c r="J543" s="31">
        <v>0</v>
      </c>
      <c r="K543" s="33">
        <v>0</v>
      </c>
      <c r="L543" s="31">
        <v>0</v>
      </c>
      <c r="M543" s="31">
        <v>0</v>
      </c>
      <c r="N543" s="31">
        <v>0</v>
      </c>
      <c r="O543" s="31">
        <v>0</v>
      </c>
      <c r="P543" s="31">
        <v>0</v>
      </c>
      <c r="Q543" s="31">
        <v>0</v>
      </c>
      <c r="R543" s="31">
        <v>0</v>
      </c>
      <c r="S543" s="31">
        <v>0</v>
      </c>
      <c r="T543" s="31">
        <v>0</v>
      </c>
      <c r="U543" s="31">
        <v>2700000</v>
      </c>
      <c r="V543" s="31">
        <v>0</v>
      </c>
      <c r="W543" s="31">
        <v>0</v>
      </c>
      <c r="X543" s="31">
        <v>0</v>
      </c>
      <c r="Y543" s="31">
        <v>0</v>
      </c>
      <c r="Z543" s="31">
        <v>0</v>
      </c>
      <c r="AA543" s="31">
        <v>0</v>
      </c>
      <c r="AB543" s="31">
        <v>0</v>
      </c>
      <c r="AC543" s="31">
        <f>ROUND(U543*1.5%,2)</f>
        <v>40500</v>
      </c>
      <c r="AD543" s="31">
        <v>112884.08</v>
      </c>
      <c r="AE543" s="31">
        <v>0</v>
      </c>
      <c r="AF543" s="34">
        <v>2020</v>
      </c>
      <c r="AG543" s="34">
        <v>2020</v>
      </c>
      <c r="AH543" s="35">
        <v>2020</v>
      </c>
      <c r="AT543" s="20" t="e">
        <f>VLOOKUP(C543,AW:AX,2,FALSE)</f>
        <v>#N/A</v>
      </c>
      <c r="BZ543" s="71"/>
      <c r="CD543" s="20" t="e">
        <f t="shared" si="114"/>
        <v>#N/A</v>
      </c>
    </row>
    <row r="544" spans="1:82" ht="61.5" x14ac:dyDescent="0.85">
      <c r="A544" s="20">
        <v>1</v>
      </c>
      <c r="B544" s="66">
        <f>SUBTOTAL(103,$A$22:A544)</f>
        <v>459</v>
      </c>
      <c r="C544" s="24" t="s">
        <v>1120</v>
      </c>
      <c r="D544" s="31">
        <f>E544+F544+G544+H544+I544+J544+L544+N544+P544+R544+T544+U544+V544+W544+X544+Y544+Z544+AA544+AB544+AC544+AD544+AE544</f>
        <v>1509999.9999999998</v>
      </c>
      <c r="E544" s="31">
        <v>0</v>
      </c>
      <c r="F544" s="31">
        <v>0</v>
      </c>
      <c r="G544" s="31">
        <v>0</v>
      </c>
      <c r="H544" s="31">
        <v>0</v>
      </c>
      <c r="I544" s="31">
        <v>0</v>
      </c>
      <c r="J544" s="31">
        <v>0</v>
      </c>
      <c r="K544" s="33">
        <v>0</v>
      </c>
      <c r="L544" s="31">
        <v>0</v>
      </c>
      <c r="M544" s="31">
        <v>240</v>
      </c>
      <c r="N544" s="31">
        <f>1146041.38+267181.17-14207.77</f>
        <v>1399014.7799999998</v>
      </c>
      <c r="O544" s="31">
        <v>0</v>
      </c>
      <c r="P544" s="31">
        <v>0</v>
      </c>
      <c r="Q544" s="31">
        <v>0</v>
      </c>
      <c r="R544" s="31">
        <v>0</v>
      </c>
      <c r="S544" s="31">
        <v>0</v>
      </c>
      <c r="T544" s="31">
        <v>0</v>
      </c>
      <c r="U544" s="31">
        <v>0</v>
      </c>
      <c r="V544" s="31">
        <v>0</v>
      </c>
      <c r="W544" s="31">
        <v>0</v>
      </c>
      <c r="X544" s="31">
        <v>0</v>
      </c>
      <c r="Y544" s="31">
        <v>0</v>
      </c>
      <c r="Z544" s="31">
        <v>0</v>
      </c>
      <c r="AA544" s="31">
        <v>0</v>
      </c>
      <c r="AB544" s="31">
        <v>0</v>
      </c>
      <c r="AC544" s="31">
        <f>ROUND(N544*1.5%,2)</f>
        <v>20985.22</v>
      </c>
      <c r="AD544" s="31">
        <v>90000</v>
      </c>
      <c r="AE544" s="31">
        <v>0</v>
      </c>
      <c r="AF544" s="34">
        <v>2020</v>
      </c>
      <c r="AG544" s="34">
        <v>2020</v>
      </c>
      <c r="AH544" s="35">
        <v>2020</v>
      </c>
      <c r="AT544" s="20" t="e">
        <f>VLOOKUP(C544,AW:AX,2,FALSE)</f>
        <v>#N/A</v>
      </c>
      <c r="BZ544" s="71"/>
      <c r="CD544" s="20" t="e">
        <f t="shared" si="114"/>
        <v>#N/A</v>
      </c>
    </row>
    <row r="545" spans="1:82" ht="61.5" x14ac:dyDescent="0.85">
      <c r="A545" s="20">
        <v>1</v>
      </c>
      <c r="B545" s="66">
        <f>SUBTOTAL(103,$A$22:A545)</f>
        <v>460</v>
      </c>
      <c r="C545" s="24" t="s">
        <v>1307</v>
      </c>
      <c r="D545" s="31">
        <f>E545+F545+G545+H545+I545+J545+L545+N545+P545+R545+T545+U545+V545+W545+X545+Y545+Z545+AA545+AB545+AC545+AD545+AE545</f>
        <v>309570.01</v>
      </c>
      <c r="E545" s="31">
        <v>0</v>
      </c>
      <c r="F545" s="31">
        <v>0</v>
      </c>
      <c r="G545" s="31">
        <v>0</v>
      </c>
      <c r="H545" s="31">
        <v>305017.62</v>
      </c>
      <c r="I545" s="31">
        <v>0</v>
      </c>
      <c r="J545" s="31">
        <v>0</v>
      </c>
      <c r="K545" s="33">
        <v>0</v>
      </c>
      <c r="L545" s="31">
        <v>0</v>
      </c>
      <c r="M545" s="31">
        <v>0</v>
      </c>
      <c r="N545" s="31">
        <v>0</v>
      </c>
      <c r="O545" s="31">
        <v>0</v>
      </c>
      <c r="P545" s="31">
        <v>0</v>
      </c>
      <c r="Q545" s="31">
        <v>0</v>
      </c>
      <c r="R545" s="31">
        <v>0</v>
      </c>
      <c r="S545" s="31">
        <v>0</v>
      </c>
      <c r="T545" s="31">
        <v>0</v>
      </c>
      <c r="U545" s="31">
        <v>0</v>
      </c>
      <c r="V545" s="31">
        <v>0</v>
      </c>
      <c r="W545" s="31">
        <v>0</v>
      </c>
      <c r="X545" s="31">
        <v>0</v>
      </c>
      <c r="Y545" s="31">
        <v>0</v>
      </c>
      <c r="Z545" s="31">
        <v>0</v>
      </c>
      <c r="AA545" s="31">
        <v>0</v>
      </c>
      <c r="AB545" s="31">
        <v>0</v>
      </c>
      <c r="AC545" s="31">
        <f>ROUND((E545+F545+G545+H545+I545+J545)*1.4925%,2)</f>
        <v>4552.3900000000003</v>
      </c>
      <c r="AD545" s="31">
        <v>0</v>
      </c>
      <c r="AE545" s="31">
        <v>0</v>
      </c>
      <c r="AF545" s="34" t="s">
        <v>274</v>
      </c>
      <c r="AG545" s="34">
        <v>2020</v>
      </c>
      <c r="AH545" s="35">
        <v>2020</v>
      </c>
      <c r="BZ545" s="71"/>
      <c r="CD545" s="20" t="e">
        <f t="shared" si="114"/>
        <v>#N/A</v>
      </c>
    </row>
    <row r="546" spans="1:82" ht="61.5" x14ac:dyDescent="0.85">
      <c r="B546" s="24" t="s">
        <v>889</v>
      </c>
      <c r="C546" s="24"/>
      <c r="D546" s="31">
        <f>SUM(D547:D549)</f>
        <v>917252.46</v>
      </c>
      <c r="E546" s="31">
        <f t="shared" ref="E546:AE546" si="116">SUM(E547:E549)</f>
        <v>0</v>
      </c>
      <c r="F546" s="31">
        <f t="shared" si="116"/>
        <v>0</v>
      </c>
      <c r="G546" s="31">
        <f t="shared" si="116"/>
        <v>0</v>
      </c>
      <c r="H546" s="31">
        <f t="shared" si="116"/>
        <v>54765.95</v>
      </c>
      <c r="I546" s="31">
        <f t="shared" si="116"/>
        <v>0</v>
      </c>
      <c r="J546" s="31">
        <f t="shared" si="116"/>
        <v>0</v>
      </c>
      <c r="K546" s="33">
        <f t="shared" si="116"/>
        <v>0</v>
      </c>
      <c r="L546" s="31">
        <f t="shared" si="116"/>
        <v>0</v>
      </c>
      <c r="M546" s="31">
        <f t="shared" si="116"/>
        <v>0</v>
      </c>
      <c r="N546" s="31">
        <f t="shared" si="116"/>
        <v>0</v>
      </c>
      <c r="O546" s="31">
        <f t="shared" si="116"/>
        <v>125</v>
      </c>
      <c r="P546" s="31">
        <f t="shared" si="116"/>
        <v>467275.99000000005</v>
      </c>
      <c r="Q546" s="31">
        <f t="shared" si="116"/>
        <v>109</v>
      </c>
      <c r="R546" s="31">
        <f t="shared" si="116"/>
        <v>360559.61</v>
      </c>
      <c r="S546" s="31">
        <f t="shared" si="116"/>
        <v>0</v>
      </c>
      <c r="T546" s="31">
        <f t="shared" si="116"/>
        <v>0</v>
      </c>
      <c r="U546" s="31">
        <f t="shared" si="116"/>
        <v>0</v>
      </c>
      <c r="V546" s="31">
        <f t="shared" si="116"/>
        <v>0</v>
      </c>
      <c r="W546" s="31">
        <f t="shared" si="116"/>
        <v>0</v>
      </c>
      <c r="X546" s="31">
        <f t="shared" si="116"/>
        <v>0</v>
      </c>
      <c r="Y546" s="31">
        <f t="shared" si="116"/>
        <v>0</v>
      </c>
      <c r="Z546" s="31">
        <f t="shared" si="116"/>
        <v>0</v>
      </c>
      <c r="AA546" s="31">
        <f t="shared" si="116"/>
        <v>0</v>
      </c>
      <c r="AB546" s="31">
        <f t="shared" si="116"/>
        <v>0</v>
      </c>
      <c r="AC546" s="31">
        <f t="shared" si="116"/>
        <v>13239.02</v>
      </c>
      <c r="AD546" s="31">
        <f t="shared" si="116"/>
        <v>21411.89</v>
      </c>
      <c r="AE546" s="31">
        <f t="shared" si="116"/>
        <v>0</v>
      </c>
      <c r="AF546" s="72" t="s">
        <v>776</v>
      </c>
      <c r="AG546" s="72" t="s">
        <v>776</v>
      </c>
      <c r="AH546" s="89" t="s">
        <v>776</v>
      </c>
      <c r="AT546" s="20" t="e">
        <f>VLOOKUP(C546,AW:AX,2,FALSE)</f>
        <v>#N/A</v>
      </c>
      <c r="BZ546" s="71">
        <v>786720.65</v>
      </c>
      <c r="CB546" s="71">
        <f>BZ546-D546</f>
        <v>-130531.80999999994</v>
      </c>
      <c r="CD546" s="20" t="e">
        <f t="shared" si="114"/>
        <v>#N/A</v>
      </c>
    </row>
    <row r="547" spans="1:82" ht="61.5" x14ac:dyDescent="0.85">
      <c r="A547" s="20">
        <v>1</v>
      </c>
      <c r="B547" s="66">
        <f>SUBTOTAL(103,$A$22:A547)</f>
        <v>461</v>
      </c>
      <c r="C547" s="24" t="s">
        <v>228</v>
      </c>
      <c r="D547" s="31">
        <f>E547+F547+G547+H547+I547+J547+L547+N547+P547+R547+T547+U547+V547+W547+X547+Y547+Z547+AA547+AB547+AC547+AD547+AE547</f>
        <v>76999.329999999987</v>
      </c>
      <c r="E547" s="31">
        <v>0</v>
      </c>
      <c r="F547" s="31">
        <v>0</v>
      </c>
      <c r="G547" s="31">
        <v>0</v>
      </c>
      <c r="H547" s="31">
        <v>54765.95</v>
      </c>
      <c r="I547" s="31">
        <v>0</v>
      </c>
      <c r="J547" s="31">
        <v>0</v>
      </c>
      <c r="K547" s="33">
        <v>0</v>
      </c>
      <c r="L547" s="31">
        <v>0</v>
      </c>
      <c r="M547" s="31">
        <v>0</v>
      </c>
      <c r="N547" s="31">
        <v>0</v>
      </c>
      <c r="O547" s="31">
        <v>0</v>
      </c>
      <c r="P547" s="31">
        <v>0</v>
      </c>
      <c r="Q547" s="31">
        <v>0</v>
      </c>
      <c r="R547" s="31">
        <v>0</v>
      </c>
      <c r="S547" s="31">
        <v>0</v>
      </c>
      <c r="T547" s="31">
        <v>0</v>
      </c>
      <c r="U547" s="31">
        <v>0</v>
      </c>
      <c r="V547" s="31">
        <v>0</v>
      </c>
      <c r="W547" s="31">
        <v>0</v>
      </c>
      <c r="X547" s="31">
        <v>0</v>
      </c>
      <c r="Y547" s="31">
        <v>0</v>
      </c>
      <c r="Z547" s="31">
        <v>0</v>
      </c>
      <c r="AA547" s="31">
        <v>0</v>
      </c>
      <c r="AB547" s="31">
        <v>0</v>
      </c>
      <c r="AC547" s="31">
        <f>ROUND((E547+F547+G547+H547+I547+J547)*1.5%,2)</f>
        <v>821.49</v>
      </c>
      <c r="AD547" s="31">
        <v>21411.89</v>
      </c>
      <c r="AE547" s="31">
        <v>0</v>
      </c>
      <c r="AF547" s="34">
        <v>2020</v>
      </c>
      <c r="AG547" s="34">
        <v>2020</v>
      </c>
      <c r="AH547" s="35">
        <v>2020</v>
      </c>
      <c r="AT547" s="20" t="e">
        <f>VLOOKUP(C547,AW:AX,2,FALSE)</f>
        <v>#N/A</v>
      </c>
      <c r="BZ547" s="71"/>
      <c r="CD547" s="20" t="e">
        <f t="shared" si="114"/>
        <v>#N/A</v>
      </c>
    </row>
    <row r="548" spans="1:82" ht="61.5" x14ac:dyDescent="0.85">
      <c r="A548" s="20">
        <v>1</v>
      </c>
      <c r="B548" s="66">
        <f>SUBTOTAL(103,$A$22:A548)</f>
        <v>462</v>
      </c>
      <c r="C548" s="24" t="s">
        <v>1319</v>
      </c>
      <c r="D548" s="31">
        <f>E548+F548+G548+H548+I548+J548+L548+N548+P548+R548+T548+U548+V548+W548+X548+Y548+Z548+AA548+AB548+AC548+AD548+AE548</f>
        <v>365968</v>
      </c>
      <c r="E548" s="31">
        <v>0</v>
      </c>
      <c r="F548" s="31">
        <v>0</v>
      </c>
      <c r="G548" s="31">
        <v>0</v>
      </c>
      <c r="H548" s="31">
        <v>0</v>
      </c>
      <c r="I548" s="31">
        <v>0</v>
      </c>
      <c r="J548" s="31">
        <v>0</v>
      </c>
      <c r="K548" s="33">
        <v>0</v>
      </c>
      <c r="L548" s="31">
        <v>0</v>
      </c>
      <c r="M548" s="31">
        <v>0</v>
      </c>
      <c r="N548" s="31">
        <v>0</v>
      </c>
      <c r="O548" s="31">
        <v>0</v>
      </c>
      <c r="P548" s="31">
        <v>0</v>
      </c>
      <c r="Q548" s="31">
        <v>109</v>
      </c>
      <c r="R548" s="31">
        <v>360559.61</v>
      </c>
      <c r="S548" s="31">
        <v>0</v>
      </c>
      <c r="T548" s="31">
        <v>0</v>
      </c>
      <c r="U548" s="31">
        <v>0</v>
      </c>
      <c r="V548" s="31">
        <v>0</v>
      </c>
      <c r="W548" s="31">
        <v>0</v>
      </c>
      <c r="X548" s="31">
        <v>0</v>
      </c>
      <c r="Y548" s="31">
        <v>0</v>
      </c>
      <c r="Z548" s="31">
        <v>0</v>
      </c>
      <c r="AA548" s="31">
        <v>0</v>
      </c>
      <c r="AB548" s="31">
        <v>0</v>
      </c>
      <c r="AC548" s="31">
        <f>ROUND(R548*1.5%,2)</f>
        <v>5408.39</v>
      </c>
      <c r="AD548" s="31">
        <v>0</v>
      </c>
      <c r="AE548" s="31">
        <v>0</v>
      </c>
      <c r="AF548" s="34" t="s">
        <v>274</v>
      </c>
      <c r="AG548" s="34">
        <v>2020</v>
      </c>
      <c r="AH548" s="35">
        <v>2020</v>
      </c>
      <c r="BZ548" s="71"/>
      <c r="CD548" s="20" t="e">
        <f t="shared" si="114"/>
        <v>#N/A</v>
      </c>
    </row>
    <row r="549" spans="1:82" ht="61.5" x14ac:dyDescent="0.85">
      <c r="A549" s="20">
        <v>1</v>
      </c>
      <c r="B549" s="66">
        <f>SUBTOTAL(103,$A$22:A549)</f>
        <v>463</v>
      </c>
      <c r="C549" s="24" t="s">
        <v>1320</v>
      </c>
      <c r="D549" s="31">
        <f>E549+F549+G549+H549+I549+J549+L549+N549+P549+R549+T549+U549+V549+W549+X549+Y549+Z549+AA549+AB549+AC549+AD549+AE549</f>
        <v>474285.13000000006</v>
      </c>
      <c r="E549" s="31">
        <v>0</v>
      </c>
      <c r="F549" s="31">
        <v>0</v>
      </c>
      <c r="G549" s="31">
        <v>0</v>
      </c>
      <c r="H549" s="31">
        <v>0</v>
      </c>
      <c r="I549" s="31">
        <v>0</v>
      </c>
      <c r="J549" s="31">
        <v>0</v>
      </c>
      <c r="K549" s="33">
        <v>0</v>
      </c>
      <c r="L549" s="31">
        <v>0</v>
      </c>
      <c r="M549" s="31">
        <v>0</v>
      </c>
      <c r="N549" s="31">
        <v>0</v>
      </c>
      <c r="O549" s="31">
        <v>125</v>
      </c>
      <c r="P549" s="31">
        <f>256520.29+50000+17768.46+142987.24</f>
        <v>467275.99000000005</v>
      </c>
      <c r="Q549" s="31">
        <v>0</v>
      </c>
      <c r="R549" s="31">
        <v>0</v>
      </c>
      <c r="S549" s="31">
        <v>0</v>
      </c>
      <c r="T549" s="31">
        <v>0</v>
      </c>
      <c r="U549" s="31">
        <v>0</v>
      </c>
      <c r="V549" s="31">
        <v>0</v>
      </c>
      <c r="W549" s="31">
        <v>0</v>
      </c>
      <c r="X549" s="31">
        <v>0</v>
      </c>
      <c r="Y549" s="31">
        <v>0</v>
      </c>
      <c r="Z549" s="31">
        <v>0</v>
      </c>
      <c r="AA549" s="31">
        <v>0</v>
      </c>
      <c r="AB549" s="31">
        <v>0</v>
      </c>
      <c r="AC549" s="31">
        <f>ROUND(P549*1.5%,2)</f>
        <v>7009.14</v>
      </c>
      <c r="AD549" s="31">
        <v>0</v>
      </c>
      <c r="AE549" s="31">
        <v>0</v>
      </c>
      <c r="AF549" s="34" t="s">
        <v>274</v>
      </c>
      <c r="AG549" s="34">
        <v>2020</v>
      </c>
      <c r="AH549" s="35">
        <v>2020</v>
      </c>
      <c r="BZ549" s="71"/>
      <c r="CD549" s="20" t="e">
        <f t="shared" si="114"/>
        <v>#N/A</v>
      </c>
    </row>
    <row r="550" spans="1:82" ht="61.5" x14ac:dyDescent="0.85">
      <c r="B550" s="24" t="s">
        <v>890</v>
      </c>
      <c r="C550" s="24"/>
      <c r="D550" s="31">
        <f t="shared" ref="D550:AE550" si="117">D551</f>
        <v>1455782.0000000002</v>
      </c>
      <c r="E550" s="31">
        <f t="shared" si="117"/>
        <v>0</v>
      </c>
      <c r="F550" s="31">
        <f t="shared" si="117"/>
        <v>0</v>
      </c>
      <c r="G550" s="31">
        <f t="shared" si="117"/>
        <v>0</v>
      </c>
      <c r="H550" s="31">
        <f t="shared" si="117"/>
        <v>0</v>
      </c>
      <c r="I550" s="31">
        <f t="shared" si="117"/>
        <v>0</v>
      </c>
      <c r="J550" s="31">
        <f t="shared" si="117"/>
        <v>0</v>
      </c>
      <c r="K550" s="33">
        <f t="shared" si="117"/>
        <v>0</v>
      </c>
      <c r="L550" s="31">
        <f t="shared" si="117"/>
        <v>0</v>
      </c>
      <c r="M550" s="31">
        <f t="shared" si="117"/>
        <v>289.86</v>
      </c>
      <c r="N550" s="31">
        <f t="shared" si="117"/>
        <v>1395939.56</v>
      </c>
      <c r="O550" s="31">
        <f t="shared" si="117"/>
        <v>0</v>
      </c>
      <c r="P550" s="31">
        <f t="shared" si="117"/>
        <v>0</v>
      </c>
      <c r="Q550" s="31">
        <f t="shared" si="117"/>
        <v>0</v>
      </c>
      <c r="R550" s="31">
        <f t="shared" si="117"/>
        <v>0</v>
      </c>
      <c r="S550" s="31">
        <f t="shared" si="117"/>
        <v>0</v>
      </c>
      <c r="T550" s="31">
        <f t="shared" si="117"/>
        <v>0</v>
      </c>
      <c r="U550" s="31">
        <f t="shared" si="117"/>
        <v>0</v>
      </c>
      <c r="V550" s="31">
        <f t="shared" si="117"/>
        <v>0</v>
      </c>
      <c r="W550" s="31">
        <f t="shared" si="117"/>
        <v>0</v>
      </c>
      <c r="X550" s="31">
        <f t="shared" si="117"/>
        <v>0</v>
      </c>
      <c r="Y550" s="31">
        <f t="shared" si="117"/>
        <v>0</v>
      </c>
      <c r="Z550" s="31">
        <f t="shared" si="117"/>
        <v>0</v>
      </c>
      <c r="AA550" s="31">
        <f t="shared" si="117"/>
        <v>0</v>
      </c>
      <c r="AB550" s="31">
        <f t="shared" si="117"/>
        <v>0</v>
      </c>
      <c r="AC550" s="31">
        <f t="shared" si="117"/>
        <v>20939.09</v>
      </c>
      <c r="AD550" s="31">
        <f t="shared" si="117"/>
        <v>38903.35</v>
      </c>
      <c r="AE550" s="31">
        <f t="shared" si="117"/>
        <v>0</v>
      </c>
      <c r="AF550" s="72" t="s">
        <v>776</v>
      </c>
      <c r="AG550" s="72" t="s">
        <v>776</v>
      </c>
      <c r="AH550" s="89" t="s">
        <v>776</v>
      </c>
      <c r="AT550" s="20" t="e">
        <f t="shared" ref="AT550:AT556" si="118">VLOOKUP(C550,AW:AX,2,FALSE)</f>
        <v>#N/A</v>
      </c>
      <c r="BZ550" s="31">
        <v>1568000</v>
      </c>
      <c r="CA550" s="31"/>
      <c r="CB550" s="31">
        <f>BZ550-D550</f>
        <v>112217.99999999977</v>
      </c>
      <c r="CD550" s="20" t="e">
        <f t="shared" si="114"/>
        <v>#N/A</v>
      </c>
    </row>
    <row r="551" spans="1:82" ht="61.5" x14ac:dyDescent="0.85">
      <c r="A551" s="20">
        <v>1</v>
      </c>
      <c r="B551" s="66">
        <f>SUBTOTAL(103,$A$22:A551)</f>
        <v>464</v>
      </c>
      <c r="C551" s="24" t="s">
        <v>227</v>
      </c>
      <c r="D551" s="31">
        <f>E551+F551+G551+H551+I551+J551+L551+N551+P551+R551+T551+U551+V551+W551+X551+Y551+Z551+AA551+AB551+AC551+AD551+AE551</f>
        <v>1455782.0000000002</v>
      </c>
      <c r="E551" s="31">
        <v>0</v>
      </c>
      <c r="F551" s="31">
        <v>0</v>
      </c>
      <c r="G551" s="31">
        <v>0</v>
      </c>
      <c r="H551" s="31">
        <v>0</v>
      </c>
      <c r="I551" s="31">
        <v>0</v>
      </c>
      <c r="J551" s="31">
        <v>0</v>
      </c>
      <c r="K551" s="33">
        <v>0</v>
      </c>
      <c r="L551" s="31">
        <v>0</v>
      </c>
      <c r="M551" s="31">
        <v>289.86</v>
      </c>
      <c r="N551" s="31">
        <v>1395939.56</v>
      </c>
      <c r="O551" s="31">
        <v>0</v>
      </c>
      <c r="P551" s="31">
        <v>0</v>
      </c>
      <c r="Q551" s="31">
        <v>0</v>
      </c>
      <c r="R551" s="31">
        <v>0</v>
      </c>
      <c r="S551" s="31">
        <v>0</v>
      </c>
      <c r="T551" s="31">
        <v>0</v>
      </c>
      <c r="U551" s="31">
        <v>0</v>
      </c>
      <c r="V551" s="31">
        <v>0</v>
      </c>
      <c r="W551" s="31">
        <v>0</v>
      </c>
      <c r="X551" s="31">
        <v>0</v>
      </c>
      <c r="Y551" s="31">
        <v>0</v>
      </c>
      <c r="Z551" s="31">
        <v>0</v>
      </c>
      <c r="AA551" s="31">
        <v>0</v>
      </c>
      <c r="AB551" s="31">
        <v>0</v>
      </c>
      <c r="AC551" s="31">
        <f>ROUND(N551*1.5%,2)</f>
        <v>20939.09</v>
      </c>
      <c r="AD551" s="31">
        <v>38903.35</v>
      </c>
      <c r="AE551" s="31">
        <v>0</v>
      </c>
      <c r="AF551" s="34">
        <v>2020</v>
      </c>
      <c r="AG551" s="34">
        <v>2020</v>
      </c>
      <c r="AH551" s="35">
        <v>2020</v>
      </c>
      <c r="AT551" s="20" t="e">
        <f t="shared" si="118"/>
        <v>#N/A</v>
      </c>
      <c r="BZ551" s="71"/>
      <c r="CD551" s="20">
        <f t="shared" si="114"/>
        <v>289.86</v>
      </c>
    </row>
    <row r="552" spans="1:82" ht="61.5" x14ac:dyDescent="0.85">
      <c r="B552" s="24" t="s">
        <v>779</v>
      </c>
      <c r="C552" s="24"/>
      <c r="D552" s="31">
        <f t="shared" ref="D552:AE552" si="119">D553+D687+D705+D764+D785+D789+D807+D810+D815+D818+D820+D823+D825+D827+D834+D839+D841+D843+D845+D847+D849+D851+D853+D862+D864+D867+D869+D871+D876+D879+D881+D883+D885+D887+D889+D891+D893+D897+D899+D901+D907+D910+D912+D914+D916+D918+D920+D924+D927+D929+D931+D933+D937+D939+D942+D944</f>
        <v>888207694.61000001</v>
      </c>
      <c r="E552" s="31">
        <f t="shared" si="119"/>
        <v>919664.16</v>
      </c>
      <c r="F552" s="31">
        <f t="shared" si="119"/>
        <v>1360064.57</v>
      </c>
      <c r="G552" s="31">
        <f t="shared" si="119"/>
        <v>7793528.1000000006</v>
      </c>
      <c r="H552" s="31">
        <f t="shared" si="119"/>
        <v>2979827.92</v>
      </c>
      <c r="I552" s="31">
        <f t="shared" si="119"/>
        <v>4671397.5199999996</v>
      </c>
      <c r="J552" s="31">
        <f t="shared" si="119"/>
        <v>0</v>
      </c>
      <c r="K552" s="33">
        <f t="shared" si="119"/>
        <v>32</v>
      </c>
      <c r="L552" s="31">
        <f t="shared" si="119"/>
        <v>67911883.330000013</v>
      </c>
      <c r="M552" s="31">
        <f t="shared" si="119"/>
        <v>147564.71888180295</v>
      </c>
      <c r="N552" s="31">
        <f t="shared" si="119"/>
        <v>684300604.7299999</v>
      </c>
      <c r="O552" s="31">
        <f t="shared" si="119"/>
        <v>278</v>
      </c>
      <c r="P552" s="31">
        <f t="shared" si="119"/>
        <v>1318378.6100000001</v>
      </c>
      <c r="Q552" s="31">
        <f t="shared" si="119"/>
        <v>21578.050000000003</v>
      </c>
      <c r="R552" s="31">
        <f t="shared" si="119"/>
        <v>59079520.689999998</v>
      </c>
      <c r="S552" s="31">
        <f t="shared" si="119"/>
        <v>114</v>
      </c>
      <c r="T552" s="31">
        <f t="shared" si="119"/>
        <v>966674.55</v>
      </c>
      <c r="U552" s="31">
        <f t="shared" si="119"/>
        <v>4066158.53</v>
      </c>
      <c r="V552" s="31">
        <f t="shared" si="119"/>
        <v>0</v>
      </c>
      <c r="W552" s="31">
        <f t="shared" si="119"/>
        <v>0</v>
      </c>
      <c r="X552" s="31">
        <f t="shared" si="119"/>
        <v>0</v>
      </c>
      <c r="Y552" s="31">
        <f t="shared" si="119"/>
        <v>0</v>
      </c>
      <c r="Z552" s="31">
        <f t="shared" si="119"/>
        <v>0</v>
      </c>
      <c r="AA552" s="31">
        <f t="shared" si="119"/>
        <v>0</v>
      </c>
      <c r="AB552" s="31">
        <f t="shared" si="119"/>
        <v>0</v>
      </c>
      <c r="AC552" s="31">
        <f t="shared" si="119"/>
        <v>11510512.640000001</v>
      </c>
      <c r="AD552" s="31">
        <f t="shared" si="119"/>
        <v>40969479.259999998</v>
      </c>
      <c r="AE552" s="31">
        <f t="shared" si="119"/>
        <v>360000</v>
      </c>
      <c r="AF552" s="72" t="s">
        <v>776</v>
      </c>
      <c r="AG552" s="72" t="s">
        <v>776</v>
      </c>
      <c r="AH552" s="89" t="s">
        <v>776</v>
      </c>
      <c r="AT552" s="20" t="e">
        <f t="shared" si="118"/>
        <v>#N/A</v>
      </c>
      <c r="BZ552" s="71">
        <v>799638471.25999999</v>
      </c>
      <c r="CD552" s="20" t="e">
        <f t="shared" si="114"/>
        <v>#N/A</v>
      </c>
    </row>
    <row r="553" spans="1:82" ht="61.5" x14ac:dyDescent="0.85">
      <c r="B553" s="24" t="s">
        <v>1119</v>
      </c>
      <c r="C553" s="166"/>
      <c r="D553" s="31">
        <f t="shared" ref="D553:AE553" si="120">SUM(D554:D686)</f>
        <v>281557554.18999988</v>
      </c>
      <c r="E553" s="31">
        <f t="shared" si="120"/>
        <v>102509.44</v>
      </c>
      <c r="F553" s="31">
        <f t="shared" si="120"/>
        <v>0</v>
      </c>
      <c r="G553" s="31">
        <f t="shared" si="120"/>
        <v>0</v>
      </c>
      <c r="H553" s="31">
        <f t="shared" si="120"/>
        <v>115886.17</v>
      </c>
      <c r="I553" s="31">
        <f t="shared" si="120"/>
        <v>0</v>
      </c>
      <c r="J553" s="31">
        <f t="shared" si="120"/>
        <v>0</v>
      </c>
      <c r="K553" s="33">
        <f t="shared" si="120"/>
        <v>14</v>
      </c>
      <c r="L553" s="31">
        <f t="shared" si="120"/>
        <v>29500739.760000005</v>
      </c>
      <c r="M553" s="31">
        <f t="shared" si="120"/>
        <v>44772.76</v>
      </c>
      <c r="N553" s="31">
        <f t="shared" si="120"/>
        <v>199538638.99000001</v>
      </c>
      <c r="O553" s="31">
        <f t="shared" si="120"/>
        <v>278</v>
      </c>
      <c r="P553" s="31">
        <f t="shared" si="120"/>
        <v>1318378.6100000001</v>
      </c>
      <c r="Q553" s="31">
        <f t="shared" si="120"/>
        <v>12279.25</v>
      </c>
      <c r="R553" s="31">
        <f t="shared" si="120"/>
        <v>34844435.18</v>
      </c>
      <c r="S553" s="31">
        <f t="shared" si="120"/>
        <v>0</v>
      </c>
      <c r="T553" s="31">
        <f t="shared" si="120"/>
        <v>0</v>
      </c>
      <c r="U553" s="31">
        <f t="shared" si="120"/>
        <v>0</v>
      </c>
      <c r="V553" s="31">
        <f t="shared" si="120"/>
        <v>0</v>
      </c>
      <c r="W553" s="31">
        <f t="shared" si="120"/>
        <v>0</v>
      </c>
      <c r="X553" s="31">
        <f t="shared" si="120"/>
        <v>0</v>
      </c>
      <c r="Y553" s="31">
        <f t="shared" si="120"/>
        <v>0</v>
      </c>
      <c r="Z553" s="31">
        <f t="shared" si="120"/>
        <v>0</v>
      </c>
      <c r="AA553" s="31">
        <f t="shared" si="120"/>
        <v>0</v>
      </c>
      <c r="AB553" s="31">
        <f t="shared" si="120"/>
        <v>0</v>
      </c>
      <c r="AC553" s="31">
        <f t="shared" si="120"/>
        <v>3537473.0799999996</v>
      </c>
      <c r="AD553" s="31">
        <f t="shared" si="120"/>
        <v>12599492.959999997</v>
      </c>
      <c r="AE553" s="31">
        <f t="shared" si="120"/>
        <v>0</v>
      </c>
      <c r="AF553" s="72" t="s">
        <v>776</v>
      </c>
      <c r="AG553" s="72" t="s">
        <v>776</v>
      </c>
      <c r="AH553" s="89" t="s">
        <v>776</v>
      </c>
      <c r="AT553" s="20" t="e">
        <f t="shared" si="118"/>
        <v>#N/A</v>
      </c>
      <c r="BZ553" s="71">
        <v>225509821.20999989</v>
      </c>
      <c r="CD553" s="20" t="e">
        <f t="shared" si="114"/>
        <v>#N/A</v>
      </c>
    </row>
    <row r="554" spans="1:82" ht="61.5" x14ac:dyDescent="0.85">
      <c r="A554" s="20">
        <v>1</v>
      </c>
      <c r="B554" s="66">
        <f>SUBTOTAL(103,$A$554:A554)</f>
        <v>1</v>
      </c>
      <c r="C554" s="24" t="s">
        <v>539</v>
      </c>
      <c r="D554" s="31">
        <f t="shared" ref="D554:D677" si="121">E554+F554+G554+H554+I554+J554+L554+N554+P554+R554+T554+U554+V554+W554+X554+Y554+Z554+AA554+AB554+AC554+AD554+AE554</f>
        <v>4625631.57</v>
      </c>
      <c r="E554" s="31">
        <v>0</v>
      </c>
      <c r="F554" s="31">
        <v>0</v>
      </c>
      <c r="G554" s="31">
        <v>0</v>
      </c>
      <c r="H554" s="31">
        <v>0</v>
      </c>
      <c r="I554" s="31">
        <v>0</v>
      </c>
      <c r="J554" s="31">
        <v>0</v>
      </c>
      <c r="K554" s="33">
        <v>0</v>
      </c>
      <c r="L554" s="31">
        <v>0</v>
      </c>
      <c r="M554" s="31">
        <v>940</v>
      </c>
      <c r="N554" s="31">
        <v>4458750.32</v>
      </c>
      <c r="O554" s="31">
        <v>0</v>
      </c>
      <c r="P554" s="31">
        <v>0</v>
      </c>
      <c r="Q554" s="31">
        <v>0</v>
      </c>
      <c r="R554" s="31">
        <v>0</v>
      </c>
      <c r="S554" s="31">
        <v>0</v>
      </c>
      <c r="T554" s="31">
        <v>0</v>
      </c>
      <c r="U554" s="31">
        <v>0</v>
      </c>
      <c r="V554" s="31">
        <v>0</v>
      </c>
      <c r="W554" s="31">
        <v>0</v>
      </c>
      <c r="X554" s="31">
        <v>0</v>
      </c>
      <c r="Y554" s="31">
        <v>0</v>
      </c>
      <c r="Z554" s="31">
        <v>0</v>
      </c>
      <c r="AA554" s="31">
        <v>0</v>
      </c>
      <c r="AB554" s="31">
        <v>0</v>
      </c>
      <c r="AC554" s="31">
        <v>66881.25</v>
      </c>
      <c r="AD554" s="31">
        <v>100000</v>
      </c>
      <c r="AE554" s="31">
        <v>0</v>
      </c>
      <c r="AF554" s="34">
        <v>2021</v>
      </c>
      <c r="AG554" s="34">
        <v>2021</v>
      </c>
      <c r="AH554" s="35">
        <v>2021</v>
      </c>
      <c r="AT554" s="20" t="e">
        <f t="shared" si="118"/>
        <v>#N/A</v>
      </c>
      <c r="BZ554" s="71"/>
      <c r="CD554" s="20" t="e">
        <f t="shared" si="114"/>
        <v>#N/A</v>
      </c>
    </row>
    <row r="555" spans="1:82" ht="61.5" x14ac:dyDescent="0.85">
      <c r="A555" s="20">
        <v>1</v>
      </c>
      <c r="B555" s="66">
        <f>SUBTOTAL(103,$A$554:A555)</f>
        <v>2</v>
      </c>
      <c r="C555" s="24" t="s">
        <v>540</v>
      </c>
      <c r="D555" s="31">
        <f t="shared" si="121"/>
        <v>4549323.9899999993</v>
      </c>
      <c r="E555" s="31">
        <v>0</v>
      </c>
      <c r="F555" s="31">
        <v>0</v>
      </c>
      <c r="G555" s="31">
        <v>0</v>
      </c>
      <c r="H555" s="31">
        <v>0</v>
      </c>
      <c r="I555" s="31">
        <v>0</v>
      </c>
      <c r="J555" s="31">
        <v>0</v>
      </c>
      <c r="K555" s="33">
        <v>0</v>
      </c>
      <c r="L555" s="31">
        <v>0</v>
      </c>
      <c r="M555" s="31">
        <v>960</v>
      </c>
      <c r="N555" s="31">
        <v>4383570.43</v>
      </c>
      <c r="O555" s="31">
        <v>0</v>
      </c>
      <c r="P555" s="31">
        <v>0</v>
      </c>
      <c r="Q555" s="31">
        <v>0</v>
      </c>
      <c r="R555" s="31">
        <v>0</v>
      </c>
      <c r="S555" s="31">
        <v>0</v>
      </c>
      <c r="T555" s="31">
        <v>0</v>
      </c>
      <c r="U555" s="31">
        <v>0</v>
      </c>
      <c r="V555" s="31">
        <v>0</v>
      </c>
      <c r="W555" s="31">
        <v>0</v>
      </c>
      <c r="X555" s="31">
        <v>0</v>
      </c>
      <c r="Y555" s="31">
        <v>0</v>
      </c>
      <c r="Z555" s="31">
        <v>0</v>
      </c>
      <c r="AA555" s="31">
        <v>0</v>
      </c>
      <c r="AB555" s="31">
        <v>0</v>
      </c>
      <c r="AC555" s="31">
        <v>65753.56</v>
      </c>
      <c r="AD555" s="31">
        <v>100000</v>
      </c>
      <c r="AE555" s="31">
        <v>0</v>
      </c>
      <c r="AF555" s="34">
        <v>2021</v>
      </c>
      <c r="AG555" s="34">
        <v>2021</v>
      </c>
      <c r="AH555" s="35">
        <v>2021</v>
      </c>
      <c r="AT555" s="20" t="e">
        <f t="shared" si="118"/>
        <v>#N/A</v>
      </c>
      <c r="BZ555" s="71"/>
      <c r="CD555" s="20" t="e">
        <f t="shared" si="114"/>
        <v>#N/A</v>
      </c>
    </row>
    <row r="556" spans="1:82" ht="61.5" x14ac:dyDescent="0.85">
      <c r="A556" s="20">
        <v>1</v>
      </c>
      <c r="B556" s="66">
        <f>SUBTOTAL(103,$A$554:A556)</f>
        <v>3</v>
      </c>
      <c r="C556" s="24" t="s">
        <v>541</v>
      </c>
      <c r="D556" s="31">
        <f t="shared" si="121"/>
        <v>4549323.9899999993</v>
      </c>
      <c r="E556" s="31">
        <v>0</v>
      </c>
      <c r="F556" s="31">
        <v>0</v>
      </c>
      <c r="G556" s="31">
        <v>0</v>
      </c>
      <c r="H556" s="31">
        <v>0</v>
      </c>
      <c r="I556" s="31">
        <v>0</v>
      </c>
      <c r="J556" s="31">
        <v>0</v>
      </c>
      <c r="K556" s="33">
        <v>0</v>
      </c>
      <c r="L556" s="31">
        <v>0</v>
      </c>
      <c r="M556" s="31">
        <v>960</v>
      </c>
      <c r="N556" s="31">
        <v>4383570.43</v>
      </c>
      <c r="O556" s="31">
        <v>0</v>
      </c>
      <c r="P556" s="31">
        <v>0</v>
      </c>
      <c r="Q556" s="31">
        <v>0</v>
      </c>
      <c r="R556" s="31">
        <v>0</v>
      </c>
      <c r="S556" s="31">
        <v>0</v>
      </c>
      <c r="T556" s="31">
        <v>0</v>
      </c>
      <c r="U556" s="31">
        <v>0</v>
      </c>
      <c r="V556" s="31">
        <v>0</v>
      </c>
      <c r="W556" s="31">
        <v>0</v>
      </c>
      <c r="X556" s="31">
        <v>0</v>
      </c>
      <c r="Y556" s="31">
        <v>0</v>
      </c>
      <c r="Z556" s="31">
        <v>0</v>
      </c>
      <c r="AA556" s="31">
        <v>0</v>
      </c>
      <c r="AB556" s="31">
        <v>0</v>
      </c>
      <c r="AC556" s="31">
        <v>65753.56</v>
      </c>
      <c r="AD556" s="31">
        <v>100000</v>
      </c>
      <c r="AE556" s="31">
        <v>0</v>
      </c>
      <c r="AF556" s="34">
        <v>2021</v>
      </c>
      <c r="AG556" s="34">
        <v>2021</v>
      </c>
      <c r="AH556" s="35">
        <v>2021</v>
      </c>
      <c r="AT556" s="20" t="e">
        <f t="shared" si="118"/>
        <v>#N/A</v>
      </c>
      <c r="BZ556" s="71"/>
      <c r="CD556" s="20" t="e">
        <f t="shared" si="114"/>
        <v>#N/A</v>
      </c>
    </row>
    <row r="557" spans="1:82" ht="61.5" x14ac:dyDescent="0.85">
      <c r="A557" s="20">
        <v>1</v>
      </c>
      <c r="B557" s="66">
        <f>SUBTOTAL(103,$A$554:A557)</f>
        <v>4</v>
      </c>
      <c r="C557" s="24" t="s">
        <v>542</v>
      </c>
      <c r="D557" s="31">
        <f t="shared" si="121"/>
        <v>3263607.5799999996</v>
      </c>
      <c r="E557" s="31">
        <v>0</v>
      </c>
      <c r="F557" s="31">
        <v>0</v>
      </c>
      <c r="G557" s="31">
        <v>0</v>
      </c>
      <c r="H557" s="31">
        <v>0</v>
      </c>
      <c r="I557" s="31">
        <v>0</v>
      </c>
      <c r="J557" s="31">
        <v>0</v>
      </c>
      <c r="K557" s="33">
        <v>0</v>
      </c>
      <c r="L557" s="31">
        <v>0</v>
      </c>
      <c r="M557" s="31">
        <v>657.1</v>
      </c>
      <c r="N557" s="31">
        <v>3116854.76</v>
      </c>
      <c r="O557" s="31">
        <v>0</v>
      </c>
      <c r="P557" s="31">
        <v>0</v>
      </c>
      <c r="Q557" s="31">
        <v>0</v>
      </c>
      <c r="R557" s="31">
        <v>0</v>
      </c>
      <c r="S557" s="31">
        <v>0</v>
      </c>
      <c r="T557" s="31">
        <v>0</v>
      </c>
      <c r="U557" s="31">
        <v>0</v>
      </c>
      <c r="V557" s="31">
        <v>0</v>
      </c>
      <c r="W557" s="31">
        <v>0</v>
      </c>
      <c r="X557" s="31">
        <v>0</v>
      </c>
      <c r="Y557" s="31">
        <v>0</v>
      </c>
      <c r="Z557" s="31">
        <v>0</v>
      </c>
      <c r="AA557" s="31">
        <v>0</v>
      </c>
      <c r="AB557" s="31">
        <v>0</v>
      </c>
      <c r="AC557" s="31">
        <v>46752.82</v>
      </c>
      <c r="AD557" s="31">
        <v>100000</v>
      </c>
      <c r="AE557" s="31">
        <v>0</v>
      </c>
      <c r="AF557" s="34">
        <v>2021</v>
      </c>
      <c r="AG557" s="34">
        <v>2021</v>
      </c>
      <c r="AH557" s="35">
        <v>2021</v>
      </c>
      <c r="BZ557" s="71"/>
      <c r="CD557" s="20" t="e">
        <f t="shared" si="114"/>
        <v>#N/A</v>
      </c>
    </row>
    <row r="558" spans="1:82" ht="61.5" x14ac:dyDescent="0.85">
      <c r="A558" s="20">
        <v>1</v>
      </c>
      <c r="B558" s="66">
        <f>SUBTOTAL(103,$A$554:A558)</f>
        <v>5</v>
      </c>
      <c r="C558" s="24" t="s">
        <v>543</v>
      </c>
      <c r="D558" s="31">
        <f t="shared" si="121"/>
        <v>2149444.66</v>
      </c>
      <c r="E558" s="31">
        <v>0</v>
      </c>
      <c r="F558" s="31">
        <v>0</v>
      </c>
      <c r="G558" s="31">
        <v>0</v>
      </c>
      <c r="H558" s="31">
        <v>0</v>
      </c>
      <c r="I558" s="31">
        <v>0</v>
      </c>
      <c r="J558" s="31">
        <v>0</v>
      </c>
      <c r="K558" s="33">
        <v>1</v>
      </c>
      <c r="L558" s="31">
        <v>2079444.66</v>
      </c>
      <c r="M558" s="31">
        <v>0</v>
      </c>
      <c r="N558" s="31">
        <v>0</v>
      </c>
      <c r="O558" s="31">
        <v>0</v>
      </c>
      <c r="P558" s="31">
        <v>0</v>
      </c>
      <c r="Q558" s="31">
        <v>0</v>
      </c>
      <c r="R558" s="31">
        <v>0</v>
      </c>
      <c r="S558" s="31">
        <v>0</v>
      </c>
      <c r="T558" s="31">
        <v>0</v>
      </c>
      <c r="U558" s="31">
        <v>0</v>
      </c>
      <c r="V558" s="31">
        <v>0</v>
      </c>
      <c r="W558" s="31">
        <v>0</v>
      </c>
      <c r="X558" s="31">
        <v>0</v>
      </c>
      <c r="Y558" s="31">
        <v>0</v>
      </c>
      <c r="Z558" s="31">
        <v>0</v>
      </c>
      <c r="AA558" s="31">
        <v>0</v>
      </c>
      <c r="AB558" s="31">
        <v>0</v>
      </c>
      <c r="AC558" s="31">
        <v>0</v>
      </c>
      <c r="AD558" s="31">
        <v>70000</v>
      </c>
      <c r="AE558" s="31">
        <v>0</v>
      </c>
      <c r="AF558" s="34">
        <v>2021</v>
      </c>
      <c r="AG558" s="34">
        <v>2021</v>
      </c>
      <c r="AH558" s="35" t="s">
        <v>274</v>
      </c>
      <c r="AT558" s="20" t="e">
        <f>VLOOKUP(C558,AW:AX,2,FALSE)</f>
        <v>#N/A</v>
      </c>
      <c r="BZ558" s="71"/>
      <c r="CD558" s="20" t="e">
        <f t="shared" si="114"/>
        <v>#N/A</v>
      </c>
    </row>
    <row r="559" spans="1:82" ht="61.5" x14ac:dyDescent="0.85">
      <c r="A559" s="20">
        <v>1</v>
      </c>
      <c r="B559" s="66">
        <f>SUBTOTAL(103,$A$554:A559)</f>
        <v>6</v>
      </c>
      <c r="C559" s="24" t="s">
        <v>544</v>
      </c>
      <c r="D559" s="31">
        <f t="shared" si="121"/>
        <v>2149444.66</v>
      </c>
      <c r="E559" s="31">
        <v>0</v>
      </c>
      <c r="F559" s="31">
        <v>0</v>
      </c>
      <c r="G559" s="31">
        <v>0</v>
      </c>
      <c r="H559" s="31">
        <v>0</v>
      </c>
      <c r="I559" s="31">
        <v>0</v>
      </c>
      <c r="J559" s="31">
        <v>0</v>
      </c>
      <c r="K559" s="33">
        <v>1</v>
      </c>
      <c r="L559" s="31">
        <v>2079444.66</v>
      </c>
      <c r="M559" s="31">
        <v>0</v>
      </c>
      <c r="N559" s="31">
        <v>0</v>
      </c>
      <c r="O559" s="31">
        <v>0</v>
      </c>
      <c r="P559" s="31">
        <v>0</v>
      </c>
      <c r="Q559" s="31">
        <v>0</v>
      </c>
      <c r="R559" s="31">
        <v>0</v>
      </c>
      <c r="S559" s="31">
        <v>0</v>
      </c>
      <c r="T559" s="31">
        <v>0</v>
      </c>
      <c r="U559" s="31">
        <v>0</v>
      </c>
      <c r="V559" s="31">
        <v>0</v>
      </c>
      <c r="W559" s="31">
        <v>0</v>
      </c>
      <c r="X559" s="31">
        <v>0</v>
      </c>
      <c r="Y559" s="31">
        <v>0</v>
      </c>
      <c r="Z559" s="31">
        <v>0</v>
      </c>
      <c r="AA559" s="31">
        <v>0</v>
      </c>
      <c r="AB559" s="31">
        <v>0</v>
      </c>
      <c r="AC559" s="31">
        <v>0</v>
      </c>
      <c r="AD559" s="31">
        <v>70000</v>
      </c>
      <c r="AE559" s="31">
        <v>0</v>
      </c>
      <c r="AF559" s="34">
        <v>2021</v>
      </c>
      <c r="AG559" s="34">
        <v>2021</v>
      </c>
      <c r="AH559" s="35" t="s">
        <v>274</v>
      </c>
      <c r="AT559" s="20" t="e">
        <f>VLOOKUP(C559,AW:AX,2,FALSE)</f>
        <v>#N/A</v>
      </c>
      <c r="BZ559" s="71"/>
      <c r="CD559" s="20" t="e">
        <f t="shared" si="114"/>
        <v>#N/A</v>
      </c>
    </row>
    <row r="560" spans="1:82" ht="61.5" x14ac:dyDescent="0.85">
      <c r="A560" s="20">
        <v>1</v>
      </c>
      <c r="B560" s="66">
        <f>SUBTOTAL(103,$A$554:A560)</f>
        <v>7</v>
      </c>
      <c r="C560" s="24" t="s">
        <v>545</v>
      </c>
      <c r="D560" s="31">
        <f t="shared" si="121"/>
        <v>4642018.24</v>
      </c>
      <c r="E560" s="31">
        <v>0</v>
      </c>
      <c r="F560" s="31">
        <v>0</v>
      </c>
      <c r="G560" s="31">
        <v>0</v>
      </c>
      <c r="H560" s="31">
        <v>0</v>
      </c>
      <c r="I560" s="31">
        <v>0</v>
      </c>
      <c r="J560" s="31">
        <v>0</v>
      </c>
      <c r="K560" s="33">
        <v>0</v>
      </c>
      <c r="L560" s="31">
        <v>0</v>
      </c>
      <c r="M560" s="31">
        <v>980</v>
      </c>
      <c r="N560" s="31">
        <v>4474894.82</v>
      </c>
      <c r="O560" s="31">
        <v>0</v>
      </c>
      <c r="P560" s="31">
        <v>0</v>
      </c>
      <c r="Q560" s="31">
        <v>0</v>
      </c>
      <c r="R560" s="31">
        <v>0</v>
      </c>
      <c r="S560" s="31">
        <v>0</v>
      </c>
      <c r="T560" s="31">
        <v>0</v>
      </c>
      <c r="U560" s="31">
        <v>0</v>
      </c>
      <c r="V560" s="31">
        <v>0</v>
      </c>
      <c r="W560" s="31">
        <v>0</v>
      </c>
      <c r="X560" s="31">
        <v>0</v>
      </c>
      <c r="Y560" s="31">
        <v>0</v>
      </c>
      <c r="Z560" s="31">
        <v>0</v>
      </c>
      <c r="AA560" s="31">
        <v>0</v>
      </c>
      <c r="AB560" s="31">
        <v>0</v>
      </c>
      <c r="AC560" s="31">
        <v>67123.42</v>
      </c>
      <c r="AD560" s="31">
        <v>100000</v>
      </c>
      <c r="AE560" s="31">
        <v>0</v>
      </c>
      <c r="AF560" s="34">
        <v>2021</v>
      </c>
      <c r="AG560" s="34">
        <v>2021</v>
      </c>
      <c r="AH560" s="35">
        <v>2021</v>
      </c>
      <c r="BZ560" s="71"/>
      <c r="CD560" s="20" t="e">
        <f t="shared" si="114"/>
        <v>#N/A</v>
      </c>
    </row>
    <row r="561" spans="1:82" ht="61.5" x14ac:dyDescent="0.85">
      <c r="A561" s="20">
        <v>1</v>
      </c>
      <c r="B561" s="66">
        <f>SUBTOTAL(103,$A$554:A561)</f>
        <v>8</v>
      </c>
      <c r="C561" s="24" t="s">
        <v>546</v>
      </c>
      <c r="D561" s="31">
        <f t="shared" si="121"/>
        <v>3518296.02</v>
      </c>
      <c r="E561" s="31">
        <v>0</v>
      </c>
      <c r="F561" s="31">
        <v>0</v>
      </c>
      <c r="G561" s="31">
        <v>0</v>
      </c>
      <c r="H561" s="31">
        <v>0</v>
      </c>
      <c r="I561" s="31">
        <v>0</v>
      </c>
      <c r="J561" s="31">
        <v>0</v>
      </c>
      <c r="K561" s="33">
        <v>0</v>
      </c>
      <c r="L561" s="31">
        <v>0</v>
      </c>
      <c r="M561" s="31">
        <v>710</v>
      </c>
      <c r="N561" s="31">
        <v>3367779.33</v>
      </c>
      <c r="O561" s="31">
        <v>0</v>
      </c>
      <c r="P561" s="31">
        <v>0</v>
      </c>
      <c r="Q561" s="31">
        <v>0</v>
      </c>
      <c r="R561" s="31">
        <v>0</v>
      </c>
      <c r="S561" s="31">
        <v>0</v>
      </c>
      <c r="T561" s="31">
        <v>0</v>
      </c>
      <c r="U561" s="31">
        <v>0</v>
      </c>
      <c r="V561" s="31">
        <v>0</v>
      </c>
      <c r="W561" s="31">
        <v>0</v>
      </c>
      <c r="X561" s="31">
        <v>0</v>
      </c>
      <c r="Y561" s="31">
        <v>0</v>
      </c>
      <c r="Z561" s="31">
        <v>0</v>
      </c>
      <c r="AA561" s="31">
        <v>0</v>
      </c>
      <c r="AB561" s="31">
        <v>0</v>
      </c>
      <c r="AC561" s="31">
        <v>50516.69</v>
      </c>
      <c r="AD561" s="31">
        <v>100000</v>
      </c>
      <c r="AE561" s="31">
        <v>0</v>
      </c>
      <c r="AF561" s="34">
        <v>2021</v>
      </c>
      <c r="AG561" s="34">
        <v>2021</v>
      </c>
      <c r="AH561" s="35">
        <v>2021</v>
      </c>
      <c r="AT561" s="20" t="e">
        <f>VLOOKUP(C561,AW:AX,2,FALSE)</f>
        <v>#N/A</v>
      </c>
      <c r="BZ561" s="71"/>
      <c r="CD561" s="20" t="e">
        <f t="shared" si="114"/>
        <v>#N/A</v>
      </c>
    </row>
    <row r="562" spans="1:82" ht="61.5" x14ac:dyDescent="0.85">
      <c r="A562" s="20">
        <v>1</v>
      </c>
      <c r="B562" s="66">
        <f>SUBTOTAL(103,$A$554:A562)</f>
        <v>9</v>
      </c>
      <c r="C562" s="24" t="s">
        <v>1406</v>
      </c>
      <c r="D562" s="31">
        <f t="shared" si="121"/>
        <v>13689818</v>
      </c>
      <c r="E562" s="31">
        <v>0</v>
      </c>
      <c r="F562" s="31">
        <v>0</v>
      </c>
      <c r="G562" s="31">
        <v>0</v>
      </c>
      <c r="H562" s="31">
        <v>0</v>
      </c>
      <c r="I562" s="31">
        <v>0</v>
      </c>
      <c r="J562" s="31">
        <v>0</v>
      </c>
      <c r="K562" s="33">
        <v>6</v>
      </c>
      <c r="L562" s="31">
        <v>13489818</v>
      </c>
      <c r="M562" s="31">
        <v>0</v>
      </c>
      <c r="N562" s="31">
        <v>0</v>
      </c>
      <c r="O562" s="31">
        <v>0</v>
      </c>
      <c r="P562" s="31">
        <v>0</v>
      </c>
      <c r="Q562" s="31">
        <v>0</v>
      </c>
      <c r="R562" s="31">
        <v>0</v>
      </c>
      <c r="S562" s="31">
        <v>0</v>
      </c>
      <c r="T562" s="31">
        <v>0</v>
      </c>
      <c r="U562" s="31">
        <v>0</v>
      </c>
      <c r="V562" s="31">
        <v>0</v>
      </c>
      <c r="W562" s="31">
        <v>0</v>
      </c>
      <c r="X562" s="31">
        <v>0</v>
      </c>
      <c r="Y562" s="31">
        <v>0</v>
      </c>
      <c r="Z562" s="31">
        <v>0</v>
      </c>
      <c r="AA562" s="31">
        <v>0</v>
      </c>
      <c r="AB562" s="31">
        <v>0</v>
      </c>
      <c r="AC562" s="31">
        <v>0</v>
      </c>
      <c r="AD562" s="31">
        <v>200000</v>
      </c>
      <c r="AE562" s="31">
        <v>0</v>
      </c>
      <c r="AF562" s="34">
        <v>2021</v>
      </c>
      <c r="AG562" s="34">
        <v>2021</v>
      </c>
      <c r="AH562" s="35" t="s">
        <v>274</v>
      </c>
      <c r="BZ562" s="71"/>
      <c r="CD562" s="20" t="e">
        <f t="shared" si="114"/>
        <v>#N/A</v>
      </c>
    </row>
    <row r="563" spans="1:82" ht="61.5" x14ac:dyDescent="0.85">
      <c r="A563" s="20">
        <v>1</v>
      </c>
      <c r="B563" s="66">
        <f>SUBTOTAL(103,$A$554:A563)</f>
        <v>10</v>
      </c>
      <c r="C563" s="24" t="s">
        <v>547</v>
      </c>
      <c r="D563" s="31">
        <f t="shared" si="121"/>
        <v>2570383.31</v>
      </c>
      <c r="E563" s="31">
        <v>0</v>
      </c>
      <c r="F563" s="31">
        <v>0</v>
      </c>
      <c r="G563" s="31">
        <v>0</v>
      </c>
      <c r="H563" s="31">
        <v>0</v>
      </c>
      <c r="I563" s="31">
        <v>0</v>
      </c>
      <c r="J563" s="31">
        <v>0</v>
      </c>
      <c r="K563" s="33">
        <v>0</v>
      </c>
      <c r="L563" s="31">
        <v>0</v>
      </c>
      <c r="M563" s="31">
        <v>520</v>
      </c>
      <c r="N563" s="31">
        <v>2433875.1800000002</v>
      </c>
      <c r="O563" s="31">
        <v>0</v>
      </c>
      <c r="P563" s="31">
        <v>0</v>
      </c>
      <c r="Q563" s="31">
        <v>0</v>
      </c>
      <c r="R563" s="31">
        <v>0</v>
      </c>
      <c r="S563" s="31">
        <v>0</v>
      </c>
      <c r="T563" s="31">
        <v>0</v>
      </c>
      <c r="U563" s="31">
        <v>0</v>
      </c>
      <c r="V563" s="31">
        <v>0</v>
      </c>
      <c r="W563" s="31">
        <v>0</v>
      </c>
      <c r="X563" s="31">
        <v>0</v>
      </c>
      <c r="Y563" s="31">
        <v>0</v>
      </c>
      <c r="Z563" s="31">
        <v>0</v>
      </c>
      <c r="AA563" s="31">
        <v>0</v>
      </c>
      <c r="AB563" s="31">
        <v>0</v>
      </c>
      <c r="AC563" s="31">
        <v>36508.129999999997</v>
      </c>
      <c r="AD563" s="31">
        <v>100000</v>
      </c>
      <c r="AE563" s="31">
        <v>0</v>
      </c>
      <c r="AF563" s="34">
        <v>2021</v>
      </c>
      <c r="AG563" s="34">
        <v>2021</v>
      </c>
      <c r="AH563" s="35">
        <v>2021</v>
      </c>
      <c r="AT563" s="20" t="e">
        <f t="shared" ref="AT563:AT574" si="122">VLOOKUP(C563,AW:AX,2,FALSE)</f>
        <v>#N/A</v>
      </c>
      <c r="BZ563" s="71"/>
      <c r="CD563" s="20" t="e">
        <f t="shared" si="114"/>
        <v>#N/A</v>
      </c>
    </row>
    <row r="564" spans="1:82" ht="61.5" x14ac:dyDescent="0.85">
      <c r="A564" s="20">
        <v>1</v>
      </c>
      <c r="B564" s="66">
        <f>SUBTOTAL(103,$A$554:A564)</f>
        <v>11</v>
      </c>
      <c r="C564" s="24" t="s">
        <v>548</v>
      </c>
      <c r="D564" s="31">
        <f t="shared" si="121"/>
        <v>4554037.87</v>
      </c>
      <c r="E564" s="31">
        <v>0</v>
      </c>
      <c r="F564" s="31">
        <v>0</v>
      </c>
      <c r="G564" s="31">
        <v>0</v>
      </c>
      <c r="H564" s="31">
        <v>0</v>
      </c>
      <c r="I564" s="31">
        <v>0</v>
      </c>
      <c r="J564" s="31">
        <v>0</v>
      </c>
      <c r="K564" s="33">
        <v>0</v>
      </c>
      <c r="L564" s="31">
        <v>0</v>
      </c>
      <c r="M564" s="31">
        <v>925.13</v>
      </c>
      <c r="N564" s="31">
        <v>4388214.6500000004</v>
      </c>
      <c r="O564" s="31">
        <v>0</v>
      </c>
      <c r="P564" s="31">
        <v>0</v>
      </c>
      <c r="Q564" s="31">
        <v>0</v>
      </c>
      <c r="R564" s="31">
        <v>0</v>
      </c>
      <c r="S564" s="31">
        <v>0</v>
      </c>
      <c r="T564" s="31">
        <v>0</v>
      </c>
      <c r="U564" s="31">
        <v>0</v>
      </c>
      <c r="V564" s="31">
        <v>0</v>
      </c>
      <c r="W564" s="31">
        <v>0</v>
      </c>
      <c r="X564" s="31">
        <v>0</v>
      </c>
      <c r="Y564" s="31">
        <v>0</v>
      </c>
      <c r="Z564" s="31">
        <v>0</v>
      </c>
      <c r="AA564" s="31">
        <v>0</v>
      </c>
      <c r="AB564" s="31">
        <v>0</v>
      </c>
      <c r="AC564" s="31">
        <v>65823.22</v>
      </c>
      <c r="AD564" s="31">
        <v>100000</v>
      </c>
      <c r="AE564" s="31">
        <v>0</v>
      </c>
      <c r="AF564" s="34">
        <v>2021</v>
      </c>
      <c r="AG564" s="34">
        <v>2021</v>
      </c>
      <c r="AH564" s="35">
        <v>2021</v>
      </c>
      <c r="AT564" s="20" t="e">
        <f t="shared" si="122"/>
        <v>#N/A</v>
      </c>
      <c r="BZ564" s="71"/>
      <c r="CD564" s="20" t="e">
        <f t="shared" si="114"/>
        <v>#N/A</v>
      </c>
    </row>
    <row r="565" spans="1:82" ht="61.5" x14ac:dyDescent="0.85">
      <c r="A565" s="20">
        <v>1</v>
      </c>
      <c r="B565" s="66">
        <f>SUBTOTAL(103,$A$554:A565)</f>
        <v>12</v>
      </c>
      <c r="C565" s="24" t="s">
        <v>549</v>
      </c>
      <c r="D565" s="31">
        <f t="shared" si="121"/>
        <v>3759019.5700000003</v>
      </c>
      <c r="E565" s="31">
        <v>0</v>
      </c>
      <c r="F565" s="31">
        <v>0</v>
      </c>
      <c r="G565" s="31">
        <v>0</v>
      </c>
      <c r="H565" s="31">
        <v>0</v>
      </c>
      <c r="I565" s="31">
        <v>0</v>
      </c>
      <c r="J565" s="31">
        <v>0</v>
      </c>
      <c r="K565" s="33">
        <v>0</v>
      </c>
      <c r="L565" s="31">
        <v>0</v>
      </c>
      <c r="M565" s="31">
        <v>760</v>
      </c>
      <c r="N565" s="31">
        <v>3604945.39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54074.18</v>
      </c>
      <c r="AD565" s="31">
        <v>100000</v>
      </c>
      <c r="AE565" s="31">
        <v>0</v>
      </c>
      <c r="AF565" s="34">
        <v>2021</v>
      </c>
      <c r="AG565" s="34">
        <v>2021</v>
      </c>
      <c r="AH565" s="35">
        <v>2021</v>
      </c>
      <c r="AT565" s="20" t="e">
        <f t="shared" si="122"/>
        <v>#N/A</v>
      </c>
      <c r="BZ565" s="71"/>
      <c r="CD565" s="20" t="e">
        <f t="shared" si="114"/>
        <v>#N/A</v>
      </c>
    </row>
    <row r="566" spans="1:82" ht="61.5" x14ac:dyDescent="0.85">
      <c r="A566" s="20">
        <v>1</v>
      </c>
      <c r="B566" s="66">
        <f>SUBTOTAL(103,$A$554:A566)</f>
        <v>13</v>
      </c>
      <c r="C566" s="24" t="s">
        <v>550</v>
      </c>
      <c r="D566" s="31">
        <f t="shared" si="121"/>
        <v>2589386.2599999998</v>
      </c>
      <c r="E566" s="31">
        <v>0</v>
      </c>
      <c r="F566" s="31">
        <v>0</v>
      </c>
      <c r="G566" s="31">
        <v>0</v>
      </c>
      <c r="H566" s="31">
        <v>0</v>
      </c>
      <c r="I566" s="31">
        <v>0</v>
      </c>
      <c r="J566" s="31">
        <v>0</v>
      </c>
      <c r="K566" s="33">
        <v>0</v>
      </c>
      <c r="L566" s="31">
        <v>0</v>
      </c>
      <c r="M566" s="31">
        <v>524</v>
      </c>
      <c r="N566" s="31">
        <v>2452597.2999999998</v>
      </c>
      <c r="O566" s="31">
        <v>0</v>
      </c>
      <c r="P566" s="31">
        <v>0</v>
      </c>
      <c r="Q566" s="31">
        <v>0</v>
      </c>
      <c r="R566" s="31">
        <v>0</v>
      </c>
      <c r="S566" s="31">
        <v>0</v>
      </c>
      <c r="T566" s="31">
        <v>0</v>
      </c>
      <c r="U566" s="31">
        <v>0</v>
      </c>
      <c r="V566" s="31">
        <v>0</v>
      </c>
      <c r="W566" s="31">
        <v>0</v>
      </c>
      <c r="X566" s="31">
        <v>0</v>
      </c>
      <c r="Y566" s="31">
        <v>0</v>
      </c>
      <c r="Z566" s="31">
        <v>0</v>
      </c>
      <c r="AA566" s="31">
        <v>0</v>
      </c>
      <c r="AB566" s="31">
        <v>0</v>
      </c>
      <c r="AC566" s="31">
        <v>36788.959999999999</v>
      </c>
      <c r="AD566" s="31">
        <v>100000</v>
      </c>
      <c r="AE566" s="31">
        <v>0</v>
      </c>
      <c r="AF566" s="34">
        <v>2021</v>
      </c>
      <c r="AG566" s="34">
        <v>2021</v>
      </c>
      <c r="AH566" s="35">
        <v>2021</v>
      </c>
      <c r="AT566" s="20" t="e">
        <f t="shared" si="122"/>
        <v>#N/A</v>
      </c>
      <c r="BZ566" s="71"/>
      <c r="CD566" s="20" t="e">
        <f t="shared" si="114"/>
        <v>#N/A</v>
      </c>
    </row>
    <row r="567" spans="1:82" ht="61.5" x14ac:dyDescent="0.85">
      <c r="A567" s="20">
        <v>1</v>
      </c>
      <c r="B567" s="66">
        <f>SUBTOTAL(103,$A$554:A567)</f>
        <v>14</v>
      </c>
      <c r="C567" s="24" t="s">
        <v>551</v>
      </c>
      <c r="D567" s="31">
        <f t="shared" si="121"/>
        <v>5092635.92</v>
      </c>
      <c r="E567" s="31">
        <v>0</v>
      </c>
      <c r="F567" s="31">
        <v>0</v>
      </c>
      <c r="G567" s="31">
        <v>0</v>
      </c>
      <c r="H567" s="31">
        <v>0</v>
      </c>
      <c r="I567" s="31">
        <v>0</v>
      </c>
      <c r="J567" s="31">
        <v>0</v>
      </c>
      <c r="K567" s="33">
        <v>0</v>
      </c>
      <c r="L567" s="31">
        <v>0</v>
      </c>
      <c r="M567" s="31">
        <v>1037</v>
      </c>
      <c r="N567" s="31">
        <v>4918853.12</v>
      </c>
      <c r="O567" s="31">
        <v>0</v>
      </c>
      <c r="P567" s="31">
        <v>0</v>
      </c>
      <c r="Q567" s="31">
        <v>0</v>
      </c>
      <c r="R567" s="31">
        <v>0</v>
      </c>
      <c r="S567" s="31">
        <v>0</v>
      </c>
      <c r="T567" s="31">
        <v>0</v>
      </c>
      <c r="U567" s="31">
        <v>0</v>
      </c>
      <c r="V567" s="31">
        <v>0</v>
      </c>
      <c r="W567" s="31">
        <v>0</v>
      </c>
      <c r="X567" s="31">
        <v>0</v>
      </c>
      <c r="Y567" s="31">
        <v>0</v>
      </c>
      <c r="Z567" s="31">
        <v>0</v>
      </c>
      <c r="AA567" s="31">
        <v>0</v>
      </c>
      <c r="AB567" s="31">
        <v>0</v>
      </c>
      <c r="AC567" s="31">
        <v>73782.8</v>
      </c>
      <c r="AD567" s="31">
        <v>100000</v>
      </c>
      <c r="AE567" s="31">
        <v>0</v>
      </c>
      <c r="AF567" s="34">
        <v>2021</v>
      </c>
      <c r="AG567" s="34">
        <v>2021</v>
      </c>
      <c r="AH567" s="35">
        <v>2021</v>
      </c>
      <c r="AT567" s="20" t="e">
        <f t="shared" si="122"/>
        <v>#N/A</v>
      </c>
      <c r="BZ567" s="71"/>
      <c r="CD567" s="20" t="e">
        <f t="shared" si="114"/>
        <v>#N/A</v>
      </c>
    </row>
    <row r="568" spans="1:82" ht="61.5" x14ac:dyDescent="0.85">
      <c r="A568" s="20">
        <v>1</v>
      </c>
      <c r="B568" s="66">
        <f>SUBTOTAL(103,$A$554:A568)</f>
        <v>15</v>
      </c>
      <c r="C568" s="24" t="s">
        <v>552</v>
      </c>
      <c r="D568" s="31">
        <f t="shared" si="121"/>
        <v>3229425.65</v>
      </c>
      <c r="E568" s="31">
        <v>0</v>
      </c>
      <c r="F568" s="31">
        <v>0</v>
      </c>
      <c r="G568" s="31">
        <v>0</v>
      </c>
      <c r="H568" s="31">
        <v>0</v>
      </c>
      <c r="I568" s="31">
        <v>0</v>
      </c>
      <c r="J568" s="31">
        <v>0</v>
      </c>
      <c r="K568" s="33">
        <v>0</v>
      </c>
      <c r="L568" s="31">
        <v>0</v>
      </c>
      <c r="M568" s="31">
        <v>650</v>
      </c>
      <c r="N568" s="31">
        <v>3083177.98</v>
      </c>
      <c r="O568" s="31">
        <v>0</v>
      </c>
      <c r="P568" s="31">
        <v>0</v>
      </c>
      <c r="Q568" s="31">
        <v>0</v>
      </c>
      <c r="R568" s="31">
        <v>0</v>
      </c>
      <c r="S568" s="31">
        <v>0</v>
      </c>
      <c r="T568" s="31">
        <v>0</v>
      </c>
      <c r="U568" s="31">
        <v>0</v>
      </c>
      <c r="V568" s="31">
        <v>0</v>
      </c>
      <c r="W568" s="31">
        <v>0</v>
      </c>
      <c r="X568" s="31">
        <v>0</v>
      </c>
      <c r="Y568" s="31">
        <v>0</v>
      </c>
      <c r="Z568" s="31">
        <v>0</v>
      </c>
      <c r="AA568" s="31">
        <v>0</v>
      </c>
      <c r="AB568" s="31">
        <v>0</v>
      </c>
      <c r="AC568" s="31">
        <v>46247.67</v>
      </c>
      <c r="AD568" s="31">
        <v>100000</v>
      </c>
      <c r="AE568" s="31">
        <v>0</v>
      </c>
      <c r="AF568" s="34">
        <v>2021</v>
      </c>
      <c r="AG568" s="34">
        <v>2021</v>
      </c>
      <c r="AH568" s="35">
        <v>2021</v>
      </c>
      <c r="AT568" s="20" t="e">
        <f t="shared" si="122"/>
        <v>#N/A</v>
      </c>
      <c r="BZ568" s="71"/>
      <c r="CD568" s="20" t="e">
        <f t="shared" si="114"/>
        <v>#N/A</v>
      </c>
    </row>
    <row r="569" spans="1:82" ht="61.5" x14ac:dyDescent="0.85">
      <c r="A569" s="20">
        <v>1</v>
      </c>
      <c r="B569" s="66">
        <f>SUBTOTAL(103,$A$554:A569)</f>
        <v>16</v>
      </c>
      <c r="C569" s="24" t="s">
        <v>553</v>
      </c>
      <c r="D569" s="31">
        <f t="shared" si="121"/>
        <v>5398710.1299999999</v>
      </c>
      <c r="E569" s="31">
        <v>0</v>
      </c>
      <c r="F569" s="31">
        <v>0</v>
      </c>
      <c r="G569" s="31">
        <v>0</v>
      </c>
      <c r="H569" s="31">
        <v>0</v>
      </c>
      <c r="I569" s="31">
        <v>0</v>
      </c>
      <c r="J569" s="31">
        <v>0</v>
      </c>
      <c r="K569" s="33">
        <v>0</v>
      </c>
      <c r="L569" s="31">
        <v>0</v>
      </c>
      <c r="M569" s="31">
        <v>1068</v>
      </c>
      <c r="N569" s="31">
        <v>5220404.07</v>
      </c>
      <c r="O569" s="31">
        <v>0</v>
      </c>
      <c r="P569" s="31">
        <v>0</v>
      </c>
      <c r="Q569" s="31">
        <v>0</v>
      </c>
      <c r="R569" s="31">
        <v>0</v>
      </c>
      <c r="S569" s="31">
        <v>0</v>
      </c>
      <c r="T569" s="31">
        <v>0</v>
      </c>
      <c r="U569" s="31">
        <v>0</v>
      </c>
      <c r="V569" s="31">
        <v>0</v>
      </c>
      <c r="W569" s="31">
        <v>0</v>
      </c>
      <c r="X569" s="31">
        <v>0</v>
      </c>
      <c r="Y569" s="31">
        <v>0</v>
      </c>
      <c r="Z569" s="31">
        <v>0</v>
      </c>
      <c r="AA569" s="31">
        <v>0</v>
      </c>
      <c r="AB569" s="31">
        <v>0</v>
      </c>
      <c r="AC569" s="31">
        <v>78306.06</v>
      </c>
      <c r="AD569" s="31">
        <v>100000</v>
      </c>
      <c r="AE569" s="31">
        <v>0</v>
      </c>
      <c r="AF569" s="34">
        <v>2021</v>
      </c>
      <c r="AG569" s="34">
        <v>2021</v>
      </c>
      <c r="AH569" s="35">
        <v>2021</v>
      </c>
      <c r="AT569" s="20" t="e">
        <f t="shared" si="122"/>
        <v>#N/A</v>
      </c>
      <c r="BZ569" s="71"/>
      <c r="CD569" s="20" t="e">
        <f t="shared" si="114"/>
        <v>#N/A</v>
      </c>
    </row>
    <row r="570" spans="1:82" ht="61.5" x14ac:dyDescent="0.85">
      <c r="A570" s="20">
        <v>1</v>
      </c>
      <c r="B570" s="66">
        <f>SUBTOTAL(103,$A$554:A570)</f>
        <v>17</v>
      </c>
      <c r="C570" s="24" t="s">
        <v>554</v>
      </c>
      <c r="D570" s="31">
        <f t="shared" si="121"/>
        <v>5145091.9399999995</v>
      </c>
      <c r="E570" s="31">
        <v>0</v>
      </c>
      <c r="F570" s="31">
        <v>0</v>
      </c>
      <c r="G570" s="31">
        <v>0</v>
      </c>
      <c r="H570" s="31">
        <v>0</v>
      </c>
      <c r="I570" s="31">
        <v>0</v>
      </c>
      <c r="J570" s="31">
        <v>0</v>
      </c>
      <c r="K570" s="33">
        <v>0</v>
      </c>
      <c r="L570" s="31">
        <v>0</v>
      </c>
      <c r="M570" s="31">
        <v>1062</v>
      </c>
      <c r="N570" s="31">
        <v>4970533.93</v>
      </c>
      <c r="O570" s="31">
        <v>0</v>
      </c>
      <c r="P570" s="31">
        <v>0</v>
      </c>
      <c r="Q570" s="31">
        <v>0</v>
      </c>
      <c r="R570" s="31">
        <v>0</v>
      </c>
      <c r="S570" s="31">
        <v>0</v>
      </c>
      <c r="T570" s="31">
        <v>0</v>
      </c>
      <c r="U570" s="31">
        <v>0</v>
      </c>
      <c r="V570" s="31">
        <v>0</v>
      </c>
      <c r="W570" s="31">
        <v>0</v>
      </c>
      <c r="X570" s="31">
        <v>0</v>
      </c>
      <c r="Y570" s="31">
        <v>0</v>
      </c>
      <c r="Z570" s="31">
        <v>0</v>
      </c>
      <c r="AA570" s="31">
        <v>0</v>
      </c>
      <c r="AB570" s="31">
        <v>0</v>
      </c>
      <c r="AC570" s="31">
        <v>74558.009999999995</v>
      </c>
      <c r="AD570" s="31">
        <v>100000</v>
      </c>
      <c r="AE570" s="31">
        <v>0</v>
      </c>
      <c r="AF570" s="34">
        <v>2021</v>
      </c>
      <c r="AG570" s="34">
        <v>2021</v>
      </c>
      <c r="AH570" s="35">
        <v>2021</v>
      </c>
      <c r="AT570" s="20" t="e">
        <f t="shared" si="122"/>
        <v>#N/A</v>
      </c>
      <c r="BZ570" s="71"/>
      <c r="CD570" s="20" t="e">
        <f t="shared" si="114"/>
        <v>#N/A</v>
      </c>
    </row>
    <row r="571" spans="1:82" ht="61.5" x14ac:dyDescent="0.85">
      <c r="A571" s="20">
        <v>1</v>
      </c>
      <c r="B571" s="66">
        <f>SUBTOTAL(103,$A$554:A571)</f>
        <v>18</v>
      </c>
      <c r="C571" s="24" t="s">
        <v>555</v>
      </c>
      <c r="D571" s="31">
        <f t="shared" si="121"/>
        <v>4517275.3499999996</v>
      </c>
      <c r="E571" s="31">
        <v>0</v>
      </c>
      <c r="F571" s="31">
        <v>0</v>
      </c>
      <c r="G571" s="31">
        <v>0</v>
      </c>
      <c r="H571" s="31">
        <v>0</v>
      </c>
      <c r="I571" s="31">
        <v>0</v>
      </c>
      <c r="J571" s="31">
        <v>0</v>
      </c>
      <c r="K571" s="33">
        <v>0</v>
      </c>
      <c r="L571" s="31">
        <v>0</v>
      </c>
      <c r="M571" s="31">
        <v>980</v>
      </c>
      <c r="N571" s="31">
        <v>4351995.42</v>
      </c>
      <c r="O571" s="31">
        <v>0</v>
      </c>
      <c r="P571" s="31">
        <v>0</v>
      </c>
      <c r="Q571" s="31">
        <v>0</v>
      </c>
      <c r="R571" s="31">
        <v>0</v>
      </c>
      <c r="S571" s="31">
        <v>0</v>
      </c>
      <c r="T571" s="31">
        <v>0</v>
      </c>
      <c r="U571" s="31">
        <v>0</v>
      </c>
      <c r="V571" s="31">
        <v>0</v>
      </c>
      <c r="W571" s="31">
        <v>0</v>
      </c>
      <c r="X571" s="31">
        <v>0</v>
      </c>
      <c r="Y571" s="31">
        <v>0</v>
      </c>
      <c r="Z571" s="31">
        <v>0</v>
      </c>
      <c r="AA571" s="31">
        <v>0</v>
      </c>
      <c r="AB571" s="31">
        <v>0</v>
      </c>
      <c r="AC571" s="31">
        <v>65279.93</v>
      </c>
      <c r="AD571" s="31">
        <v>100000</v>
      </c>
      <c r="AE571" s="31">
        <v>0</v>
      </c>
      <c r="AF571" s="34">
        <v>2021</v>
      </c>
      <c r="AG571" s="34">
        <v>2021</v>
      </c>
      <c r="AH571" s="35">
        <v>2021</v>
      </c>
      <c r="AT571" s="20" t="e">
        <f t="shared" si="122"/>
        <v>#N/A</v>
      </c>
      <c r="BZ571" s="71"/>
      <c r="CD571" s="20" t="e">
        <f t="shared" si="114"/>
        <v>#N/A</v>
      </c>
    </row>
    <row r="572" spans="1:82" ht="61.5" x14ac:dyDescent="0.85">
      <c r="A572" s="20">
        <v>1</v>
      </c>
      <c r="B572" s="66">
        <f>SUBTOTAL(103,$A$554:A572)</f>
        <v>19</v>
      </c>
      <c r="C572" s="24" t="s">
        <v>822</v>
      </c>
      <c r="D572" s="31">
        <f t="shared" si="121"/>
        <v>2739901.57</v>
      </c>
      <c r="E572" s="31">
        <v>0</v>
      </c>
      <c r="F572" s="31">
        <v>0</v>
      </c>
      <c r="G572" s="31">
        <v>0</v>
      </c>
      <c r="H572" s="31">
        <v>0</v>
      </c>
      <c r="I572" s="31">
        <v>0</v>
      </c>
      <c r="J572" s="31">
        <v>0</v>
      </c>
      <c r="K572" s="33">
        <v>0</v>
      </c>
      <c r="L572" s="31">
        <v>0</v>
      </c>
      <c r="M572" s="31">
        <v>635</v>
      </c>
      <c r="N572" s="31">
        <v>2600888.25</v>
      </c>
      <c r="O572" s="31">
        <v>0</v>
      </c>
      <c r="P572" s="31">
        <v>0</v>
      </c>
      <c r="Q572" s="31">
        <v>0</v>
      </c>
      <c r="R572" s="31">
        <v>0</v>
      </c>
      <c r="S572" s="31">
        <v>0</v>
      </c>
      <c r="T572" s="31">
        <v>0</v>
      </c>
      <c r="U572" s="31">
        <v>0</v>
      </c>
      <c r="V572" s="31">
        <v>0</v>
      </c>
      <c r="W572" s="31">
        <v>0</v>
      </c>
      <c r="X572" s="31">
        <v>0</v>
      </c>
      <c r="Y572" s="31">
        <v>0</v>
      </c>
      <c r="Z572" s="31">
        <v>0</v>
      </c>
      <c r="AA572" s="31">
        <v>0</v>
      </c>
      <c r="AB572" s="31">
        <v>0</v>
      </c>
      <c r="AC572" s="31">
        <v>39013.32</v>
      </c>
      <c r="AD572" s="31">
        <v>100000</v>
      </c>
      <c r="AE572" s="31">
        <v>0</v>
      </c>
      <c r="AF572" s="34">
        <v>2021</v>
      </c>
      <c r="AG572" s="34">
        <v>2021</v>
      </c>
      <c r="AH572" s="35">
        <v>2021</v>
      </c>
      <c r="AT572" s="20" t="e">
        <f t="shared" si="122"/>
        <v>#N/A</v>
      </c>
      <c r="BZ572" s="71"/>
      <c r="CD572" s="20" t="e">
        <f t="shared" si="114"/>
        <v>#N/A</v>
      </c>
    </row>
    <row r="573" spans="1:82" ht="61.5" x14ac:dyDescent="0.85">
      <c r="A573" s="20">
        <v>1</v>
      </c>
      <c r="B573" s="66">
        <f>SUBTOTAL(103,$A$554:A573)</f>
        <v>20</v>
      </c>
      <c r="C573" s="24" t="s">
        <v>556</v>
      </c>
      <c r="D573" s="31">
        <f t="shared" si="121"/>
        <v>4549323.9899999993</v>
      </c>
      <c r="E573" s="31">
        <v>0</v>
      </c>
      <c r="F573" s="31">
        <v>0</v>
      </c>
      <c r="G573" s="31">
        <v>0</v>
      </c>
      <c r="H573" s="31">
        <v>0</v>
      </c>
      <c r="I573" s="31">
        <v>0</v>
      </c>
      <c r="J573" s="31">
        <v>0</v>
      </c>
      <c r="K573" s="33">
        <v>0</v>
      </c>
      <c r="L573" s="31">
        <v>0</v>
      </c>
      <c r="M573" s="31">
        <v>960</v>
      </c>
      <c r="N573" s="31">
        <v>4383570.43</v>
      </c>
      <c r="O573" s="31">
        <v>0</v>
      </c>
      <c r="P573" s="31">
        <v>0</v>
      </c>
      <c r="Q573" s="31">
        <v>0</v>
      </c>
      <c r="R573" s="31">
        <v>0</v>
      </c>
      <c r="S573" s="31">
        <v>0</v>
      </c>
      <c r="T573" s="31">
        <v>0</v>
      </c>
      <c r="U573" s="31">
        <v>0</v>
      </c>
      <c r="V573" s="31">
        <v>0</v>
      </c>
      <c r="W573" s="31">
        <v>0</v>
      </c>
      <c r="X573" s="31">
        <v>0</v>
      </c>
      <c r="Y573" s="31">
        <v>0</v>
      </c>
      <c r="Z573" s="31">
        <v>0</v>
      </c>
      <c r="AA573" s="31">
        <v>0</v>
      </c>
      <c r="AB573" s="31">
        <v>0</v>
      </c>
      <c r="AC573" s="31">
        <v>65753.56</v>
      </c>
      <c r="AD573" s="31">
        <v>100000</v>
      </c>
      <c r="AE573" s="31">
        <v>0</v>
      </c>
      <c r="AF573" s="34">
        <v>2021</v>
      </c>
      <c r="AG573" s="34">
        <v>2021</v>
      </c>
      <c r="AH573" s="35">
        <v>2021</v>
      </c>
      <c r="AT573" s="20" t="e">
        <f t="shared" si="122"/>
        <v>#N/A</v>
      </c>
      <c r="BZ573" s="71"/>
      <c r="CD573" s="20" t="e">
        <f t="shared" si="114"/>
        <v>#N/A</v>
      </c>
    </row>
    <row r="574" spans="1:82" ht="61.5" x14ac:dyDescent="0.85">
      <c r="A574" s="20">
        <v>1</v>
      </c>
      <c r="B574" s="66">
        <f>SUBTOTAL(103,$A$554:A574)</f>
        <v>21</v>
      </c>
      <c r="C574" s="24" t="s">
        <v>557</v>
      </c>
      <c r="D574" s="31">
        <f t="shared" si="121"/>
        <v>3661902.1799999997</v>
      </c>
      <c r="E574" s="31">
        <v>0</v>
      </c>
      <c r="F574" s="31">
        <v>0</v>
      </c>
      <c r="G574" s="31">
        <v>0</v>
      </c>
      <c r="H574" s="31">
        <v>0</v>
      </c>
      <c r="I574" s="31">
        <v>0</v>
      </c>
      <c r="J574" s="31">
        <v>0</v>
      </c>
      <c r="K574" s="33">
        <v>0</v>
      </c>
      <c r="L574" s="31">
        <v>0</v>
      </c>
      <c r="M574" s="31">
        <v>775</v>
      </c>
      <c r="N574" s="31">
        <v>3538819.88</v>
      </c>
      <c r="O574" s="31">
        <v>0</v>
      </c>
      <c r="P574" s="31">
        <v>0</v>
      </c>
      <c r="Q574" s="31">
        <v>0</v>
      </c>
      <c r="R574" s="31">
        <v>0</v>
      </c>
      <c r="S574" s="31">
        <v>0</v>
      </c>
      <c r="T574" s="31">
        <v>0</v>
      </c>
      <c r="U574" s="31">
        <v>0</v>
      </c>
      <c r="V574" s="31">
        <v>0</v>
      </c>
      <c r="W574" s="31">
        <v>0</v>
      </c>
      <c r="X574" s="31">
        <v>0</v>
      </c>
      <c r="Y574" s="31">
        <v>0</v>
      </c>
      <c r="Z574" s="31">
        <v>0</v>
      </c>
      <c r="AA574" s="31">
        <v>0</v>
      </c>
      <c r="AB574" s="31">
        <v>0</v>
      </c>
      <c r="AC574" s="31">
        <v>53082.3</v>
      </c>
      <c r="AD574" s="31">
        <v>70000</v>
      </c>
      <c r="AE574" s="31">
        <v>0</v>
      </c>
      <c r="AF574" s="34">
        <v>2021</v>
      </c>
      <c r="AG574" s="34">
        <v>2021</v>
      </c>
      <c r="AH574" s="35">
        <v>2021</v>
      </c>
      <c r="AT574" s="20" t="e">
        <f t="shared" si="122"/>
        <v>#N/A</v>
      </c>
      <c r="BZ574" s="71"/>
      <c r="CD574" s="20" t="e">
        <f t="shared" si="114"/>
        <v>#N/A</v>
      </c>
    </row>
    <row r="575" spans="1:82" ht="61.5" x14ac:dyDescent="0.85">
      <c r="A575" s="20">
        <v>1</v>
      </c>
      <c r="B575" s="66">
        <f>SUBTOTAL(103,$A$554:A575)</f>
        <v>22</v>
      </c>
      <c r="C575" s="24" t="s">
        <v>1431</v>
      </c>
      <c r="D575" s="31">
        <f t="shared" si="121"/>
        <v>5911583.5</v>
      </c>
      <c r="E575" s="31">
        <v>0</v>
      </c>
      <c r="F575" s="31">
        <v>0</v>
      </c>
      <c r="G575" s="31">
        <v>0</v>
      </c>
      <c r="H575" s="31">
        <v>0</v>
      </c>
      <c r="I575" s="31">
        <v>0</v>
      </c>
      <c r="J575" s="31">
        <v>0</v>
      </c>
      <c r="K575" s="33">
        <v>0</v>
      </c>
      <c r="L575" s="31">
        <v>0</v>
      </c>
      <c r="M575" s="31">
        <v>1207.0999999999999</v>
      </c>
      <c r="N575" s="31">
        <v>5725698.0300000003</v>
      </c>
      <c r="O575" s="31">
        <v>0</v>
      </c>
      <c r="P575" s="31">
        <v>0</v>
      </c>
      <c r="Q575" s="31">
        <v>0</v>
      </c>
      <c r="R575" s="31">
        <v>0</v>
      </c>
      <c r="S575" s="31">
        <v>0</v>
      </c>
      <c r="T575" s="31">
        <v>0</v>
      </c>
      <c r="U575" s="31">
        <v>0</v>
      </c>
      <c r="V575" s="31">
        <v>0</v>
      </c>
      <c r="W575" s="31">
        <v>0</v>
      </c>
      <c r="X575" s="31">
        <v>0</v>
      </c>
      <c r="Y575" s="31">
        <v>0</v>
      </c>
      <c r="Z575" s="31">
        <v>0</v>
      </c>
      <c r="AA575" s="31">
        <v>0</v>
      </c>
      <c r="AB575" s="31">
        <v>0</v>
      </c>
      <c r="AC575" s="31">
        <v>85885.47</v>
      </c>
      <c r="AD575" s="31">
        <v>100000</v>
      </c>
      <c r="AE575" s="31">
        <v>0</v>
      </c>
      <c r="AF575" s="34">
        <v>2021</v>
      </c>
      <c r="AG575" s="34">
        <v>2021</v>
      </c>
      <c r="AH575" s="35">
        <v>2021</v>
      </c>
      <c r="BZ575" s="71"/>
      <c r="CD575" s="20" t="e">
        <f t="shared" si="114"/>
        <v>#N/A</v>
      </c>
    </row>
    <row r="576" spans="1:82" ht="61.5" x14ac:dyDescent="0.85">
      <c r="A576" s="20">
        <v>1</v>
      </c>
      <c r="B576" s="66">
        <f>SUBTOTAL(103,$A$554:A576)</f>
        <v>23</v>
      </c>
      <c r="C576" s="24" t="s">
        <v>558</v>
      </c>
      <c r="D576" s="31">
        <f t="shared" si="121"/>
        <v>2179444.67</v>
      </c>
      <c r="E576" s="31">
        <v>0</v>
      </c>
      <c r="F576" s="31">
        <v>0</v>
      </c>
      <c r="G576" s="31">
        <v>0</v>
      </c>
      <c r="H576" s="31">
        <v>0</v>
      </c>
      <c r="I576" s="31">
        <v>0</v>
      </c>
      <c r="J576" s="31">
        <v>0</v>
      </c>
      <c r="K576" s="33">
        <v>1</v>
      </c>
      <c r="L576" s="31">
        <v>2079444.67</v>
      </c>
      <c r="M576" s="31">
        <v>0</v>
      </c>
      <c r="N576" s="31">
        <v>0</v>
      </c>
      <c r="O576" s="31">
        <v>0</v>
      </c>
      <c r="P576" s="31">
        <v>0</v>
      </c>
      <c r="Q576" s="31">
        <v>0</v>
      </c>
      <c r="R576" s="31">
        <v>0</v>
      </c>
      <c r="S576" s="31">
        <v>0</v>
      </c>
      <c r="T576" s="31">
        <v>0</v>
      </c>
      <c r="U576" s="31">
        <v>0</v>
      </c>
      <c r="V576" s="31">
        <v>0</v>
      </c>
      <c r="W576" s="31">
        <v>0</v>
      </c>
      <c r="X576" s="31">
        <v>0</v>
      </c>
      <c r="Y576" s="31">
        <v>0</v>
      </c>
      <c r="Z576" s="31">
        <v>0</v>
      </c>
      <c r="AA576" s="31">
        <v>0</v>
      </c>
      <c r="AB576" s="31">
        <v>0</v>
      </c>
      <c r="AC576" s="31">
        <v>0</v>
      </c>
      <c r="AD576" s="31">
        <v>100000</v>
      </c>
      <c r="AE576" s="31">
        <v>0</v>
      </c>
      <c r="AF576" s="34">
        <v>2021</v>
      </c>
      <c r="AG576" s="34">
        <v>2021</v>
      </c>
      <c r="AH576" s="35" t="s">
        <v>274</v>
      </c>
      <c r="AT576" s="20" t="e">
        <f t="shared" ref="AT576:AT586" si="123">VLOOKUP(C576,AW:AX,2,FALSE)</f>
        <v>#N/A</v>
      </c>
      <c r="BZ576" s="71"/>
      <c r="CD576" s="20" t="e">
        <f t="shared" si="114"/>
        <v>#N/A</v>
      </c>
    </row>
    <row r="577" spans="1:82" ht="61.5" x14ac:dyDescent="0.85">
      <c r="A577" s="20">
        <v>1</v>
      </c>
      <c r="B577" s="66">
        <f>SUBTOTAL(103,$A$554:A577)</f>
        <v>24</v>
      </c>
      <c r="C577" s="24" t="s">
        <v>823</v>
      </c>
      <c r="D577" s="31">
        <f t="shared" si="121"/>
        <v>3110127.71</v>
      </c>
      <c r="E577" s="31">
        <v>0</v>
      </c>
      <c r="F577" s="31">
        <v>0</v>
      </c>
      <c r="G577" s="31">
        <v>0</v>
      </c>
      <c r="H577" s="31">
        <v>0</v>
      </c>
      <c r="I577" s="31">
        <v>0</v>
      </c>
      <c r="J577" s="31">
        <v>0</v>
      </c>
      <c r="K577" s="33">
        <v>0</v>
      </c>
      <c r="L577" s="31">
        <v>0</v>
      </c>
      <c r="M577" s="31">
        <v>700</v>
      </c>
      <c r="N577" s="31">
        <v>2867120.9</v>
      </c>
      <c r="O577" s="31">
        <v>0</v>
      </c>
      <c r="P577" s="31">
        <v>0</v>
      </c>
      <c r="Q577" s="31">
        <v>0</v>
      </c>
      <c r="R577" s="31">
        <v>0</v>
      </c>
      <c r="S577" s="31">
        <v>0</v>
      </c>
      <c r="T577" s="31">
        <v>0</v>
      </c>
      <c r="U577" s="31">
        <v>0</v>
      </c>
      <c r="V577" s="31">
        <v>0</v>
      </c>
      <c r="W577" s="31">
        <v>0</v>
      </c>
      <c r="X577" s="31">
        <v>0</v>
      </c>
      <c r="Y577" s="31">
        <v>0</v>
      </c>
      <c r="Z577" s="31">
        <v>0</v>
      </c>
      <c r="AA577" s="31">
        <v>0</v>
      </c>
      <c r="AB577" s="31">
        <v>0</v>
      </c>
      <c r="AC577" s="31">
        <v>43006.81</v>
      </c>
      <c r="AD577" s="31">
        <v>200000</v>
      </c>
      <c r="AE577" s="31">
        <v>0</v>
      </c>
      <c r="AF577" s="34">
        <v>2021</v>
      </c>
      <c r="AG577" s="34">
        <v>2021</v>
      </c>
      <c r="AH577" s="35">
        <v>2021</v>
      </c>
      <c r="AT577" s="20" t="e">
        <f t="shared" si="123"/>
        <v>#N/A</v>
      </c>
      <c r="BZ577" s="71"/>
      <c r="CD577" s="20" t="e">
        <f t="shared" si="114"/>
        <v>#N/A</v>
      </c>
    </row>
    <row r="578" spans="1:82" ht="61.5" x14ac:dyDescent="0.85">
      <c r="A578" s="20">
        <v>1</v>
      </c>
      <c r="B578" s="66">
        <f>SUBTOTAL(103,$A$554:A578)</f>
        <v>25</v>
      </c>
      <c r="C578" s="24" t="s">
        <v>559</v>
      </c>
      <c r="D578" s="31">
        <f t="shared" si="121"/>
        <v>1126135.8999999999</v>
      </c>
      <c r="E578" s="31">
        <v>0</v>
      </c>
      <c r="F578" s="31">
        <v>0</v>
      </c>
      <c r="G578" s="31">
        <v>0</v>
      </c>
      <c r="H578" s="31">
        <v>0</v>
      </c>
      <c r="I578" s="31">
        <v>0</v>
      </c>
      <c r="J578" s="31">
        <v>0</v>
      </c>
      <c r="K578" s="33">
        <v>0</v>
      </c>
      <c r="L578" s="31">
        <v>0</v>
      </c>
      <c r="M578" s="31">
        <v>210</v>
      </c>
      <c r="N578" s="31">
        <v>996103.33</v>
      </c>
      <c r="O578" s="31">
        <v>0</v>
      </c>
      <c r="P578" s="31">
        <v>0</v>
      </c>
      <c r="Q578" s="31">
        <v>0</v>
      </c>
      <c r="R578" s="31">
        <v>0</v>
      </c>
      <c r="S578" s="31">
        <v>0</v>
      </c>
      <c r="T578" s="31">
        <v>0</v>
      </c>
      <c r="U578" s="31">
        <v>0</v>
      </c>
      <c r="V578" s="31">
        <v>0</v>
      </c>
      <c r="W578" s="31">
        <v>0</v>
      </c>
      <c r="X578" s="31">
        <v>0</v>
      </c>
      <c r="Y578" s="31">
        <v>0</v>
      </c>
      <c r="Z578" s="31">
        <v>0</v>
      </c>
      <c r="AA578" s="31">
        <v>0</v>
      </c>
      <c r="AB578" s="31">
        <v>0</v>
      </c>
      <c r="AC578" s="31">
        <v>14941.55</v>
      </c>
      <c r="AD578" s="31">
        <v>115091.02</v>
      </c>
      <c r="AE578" s="31">
        <v>0</v>
      </c>
      <c r="AF578" s="34">
        <v>2021</v>
      </c>
      <c r="AG578" s="34">
        <v>2021</v>
      </c>
      <c r="AH578" s="35">
        <v>2021</v>
      </c>
      <c r="AT578" s="20" t="e">
        <f t="shared" si="123"/>
        <v>#N/A</v>
      </c>
      <c r="BZ578" s="71"/>
      <c r="CD578" s="20" t="e">
        <f t="shared" si="114"/>
        <v>#N/A</v>
      </c>
    </row>
    <row r="579" spans="1:82" ht="61.5" x14ac:dyDescent="0.85">
      <c r="A579" s="20">
        <v>1</v>
      </c>
      <c r="B579" s="66">
        <f>SUBTOTAL(103,$A$554:A579)</f>
        <v>26</v>
      </c>
      <c r="C579" s="24" t="s">
        <v>560</v>
      </c>
      <c r="D579" s="31">
        <f t="shared" si="121"/>
        <v>4057359.23</v>
      </c>
      <c r="E579" s="31">
        <v>0</v>
      </c>
      <c r="F579" s="31">
        <v>0</v>
      </c>
      <c r="G579" s="31">
        <v>0</v>
      </c>
      <c r="H579" s="31">
        <v>0</v>
      </c>
      <c r="I579" s="31">
        <v>0</v>
      </c>
      <c r="J579" s="31">
        <v>0</v>
      </c>
      <c r="K579" s="33">
        <v>0</v>
      </c>
      <c r="L579" s="31">
        <v>0</v>
      </c>
      <c r="M579" s="31">
        <v>0</v>
      </c>
      <c r="N579" s="31">
        <v>0</v>
      </c>
      <c r="O579" s="31">
        <v>0</v>
      </c>
      <c r="P579" s="31">
        <v>0</v>
      </c>
      <c r="Q579" s="31">
        <v>940.98</v>
      </c>
      <c r="R579" s="31">
        <v>3849615</v>
      </c>
      <c r="S579" s="31">
        <v>0</v>
      </c>
      <c r="T579" s="31">
        <v>0</v>
      </c>
      <c r="U579" s="31">
        <v>0</v>
      </c>
      <c r="V579" s="31">
        <v>0</v>
      </c>
      <c r="W579" s="31">
        <v>0</v>
      </c>
      <c r="X579" s="31">
        <v>0</v>
      </c>
      <c r="Y579" s="31">
        <v>0</v>
      </c>
      <c r="Z579" s="31">
        <v>0</v>
      </c>
      <c r="AA579" s="31">
        <v>0</v>
      </c>
      <c r="AB579" s="31">
        <v>0</v>
      </c>
      <c r="AC579" s="31">
        <v>57744.23</v>
      </c>
      <c r="AD579" s="31">
        <v>150000</v>
      </c>
      <c r="AE579" s="31">
        <v>0</v>
      </c>
      <c r="AF579" s="34">
        <v>2021</v>
      </c>
      <c r="AG579" s="34">
        <v>2021</v>
      </c>
      <c r="AH579" s="35">
        <v>2021</v>
      </c>
      <c r="AT579" s="20" t="e">
        <f t="shared" si="123"/>
        <v>#N/A</v>
      </c>
      <c r="BZ579" s="71"/>
      <c r="CD579" s="20" t="e">
        <f t="shared" si="114"/>
        <v>#N/A</v>
      </c>
    </row>
    <row r="580" spans="1:82" ht="61.5" x14ac:dyDescent="0.85">
      <c r="A580" s="20">
        <v>1</v>
      </c>
      <c r="B580" s="66">
        <f>SUBTOTAL(103,$A$554:A580)</f>
        <v>27</v>
      </c>
      <c r="C580" s="24" t="s">
        <v>561</v>
      </c>
      <c r="D580" s="31">
        <f t="shared" si="121"/>
        <v>2760412.39</v>
      </c>
      <c r="E580" s="31">
        <v>0</v>
      </c>
      <c r="F580" s="31">
        <v>0</v>
      </c>
      <c r="G580" s="31">
        <v>0</v>
      </c>
      <c r="H580" s="31">
        <v>0</v>
      </c>
      <c r="I580" s="31">
        <v>0</v>
      </c>
      <c r="J580" s="31">
        <v>0</v>
      </c>
      <c r="K580" s="33">
        <v>0</v>
      </c>
      <c r="L580" s="31">
        <v>0</v>
      </c>
      <c r="M580" s="31">
        <v>560</v>
      </c>
      <c r="N580" s="31">
        <v>2621095.9500000002</v>
      </c>
      <c r="O580" s="31">
        <v>0</v>
      </c>
      <c r="P580" s="31">
        <v>0</v>
      </c>
      <c r="Q580" s="31">
        <v>0</v>
      </c>
      <c r="R580" s="31">
        <v>0</v>
      </c>
      <c r="S580" s="31">
        <v>0</v>
      </c>
      <c r="T580" s="31">
        <v>0</v>
      </c>
      <c r="U580" s="31">
        <v>0</v>
      </c>
      <c r="V580" s="31">
        <v>0</v>
      </c>
      <c r="W580" s="31">
        <v>0</v>
      </c>
      <c r="X580" s="31">
        <v>0</v>
      </c>
      <c r="Y580" s="31">
        <v>0</v>
      </c>
      <c r="Z580" s="31">
        <v>0</v>
      </c>
      <c r="AA580" s="31">
        <v>0</v>
      </c>
      <c r="AB580" s="31">
        <v>0</v>
      </c>
      <c r="AC580" s="31">
        <v>39316.44</v>
      </c>
      <c r="AD580" s="31">
        <v>100000</v>
      </c>
      <c r="AE580" s="31">
        <v>0</v>
      </c>
      <c r="AF580" s="34">
        <v>2021</v>
      </c>
      <c r="AG580" s="34">
        <v>2021</v>
      </c>
      <c r="AH580" s="35">
        <v>2021</v>
      </c>
      <c r="AT580" s="20" t="e">
        <f t="shared" si="123"/>
        <v>#N/A</v>
      </c>
      <c r="BZ580" s="71"/>
      <c r="CD580" s="20" t="e">
        <f t="shared" si="114"/>
        <v>#N/A</v>
      </c>
    </row>
    <row r="581" spans="1:82" ht="61.5" x14ac:dyDescent="0.85">
      <c r="A581" s="20">
        <v>1</v>
      </c>
      <c r="B581" s="66">
        <f>SUBTOTAL(103,$A$554:A581)</f>
        <v>28</v>
      </c>
      <c r="C581" s="24" t="s">
        <v>825</v>
      </c>
      <c r="D581" s="31">
        <f t="shared" si="121"/>
        <v>5592560.8499999996</v>
      </c>
      <c r="E581" s="31">
        <v>0</v>
      </c>
      <c r="F581" s="31">
        <v>0</v>
      </c>
      <c r="G581" s="31">
        <v>0</v>
      </c>
      <c r="H581" s="31">
        <v>0</v>
      </c>
      <c r="I581" s="31">
        <v>0</v>
      </c>
      <c r="J581" s="31">
        <v>0</v>
      </c>
      <c r="K581" s="33">
        <v>0</v>
      </c>
      <c r="L581" s="31">
        <v>0</v>
      </c>
      <c r="M581" s="31">
        <v>1391</v>
      </c>
      <c r="N581" s="31">
        <v>5411390</v>
      </c>
      <c r="O581" s="31">
        <v>0</v>
      </c>
      <c r="P581" s="31">
        <v>0</v>
      </c>
      <c r="Q581" s="31">
        <v>0</v>
      </c>
      <c r="R581" s="31">
        <v>0</v>
      </c>
      <c r="S581" s="31">
        <v>0</v>
      </c>
      <c r="T581" s="31">
        <v>0</v>
      </c>
      <c r="U581" s="31">
        <v>0</v>
      </c>
      <c r="V581" s="31">
        <v>0</v>
      </c>
      <c r="W581" s="31">
        <v>0</v>
      </c>
      <c r="X581" s="31">
        <v>0</v>
      </c>
      <c r="Y581" s="31">
        <v>0</v>
      </c>
      <c r="Z581" s="31">
        <v>0</v>
      </c>
      <c r="AA581" s="31">
        <v>0</v>
      </c>
      <c r="AB581" s="31">
        <v>0</v>
      </c>
      <c r="AC581" s="31">
        <v>81170.850000000006</v>
      </c>
      <c r="AD581" s="31">
        <v>100000</v>
      </c>
      <c r="AE581" s="31">
        <v>0</v>
      </c>
      <c r="AF581" s="34">
        <v>2021</v>
      </c>
      <c r="AG581" s="34">
        <v>2021</v>
      </c>
      <c r="AH581" s="35">
        <v>2021</v>
      </c>
      <c r="AT581" s="20" t="e">
        <f t="shared" si="123"/>
        <v>#N/A</v>
      </c>
      <c r="BZ581" s="71"/>
      <c r="CD581" s="20" t="e">
        <f t="shared" si="114"/>
        <v>#N/A</v>
      </c>
    </row>
    <row r="582" spans="1:82" ht="61.5" x14ac:dyDescent="0.85">
      <c r="A582" s="20">
        <v>1</v>
      </c>
      <c r="B582" s="66">
        <f>SUBTOTAL(103,$A$554:A582)</f>
        <v>29</v>
      </c>
      <c r="C582" s="24" t="s">
        <v>562</v>
      </c>
      <c r="D582" s="31">
        <f t="shared" si="121"/>
        <v>4005106.45</v>
      </c>
      <c r="E582" s="31">
        <v>0</v>
      </c>
      <c r="F582" s="31">
        <v>0</v>
      </c>
      <c r="G582" s="31">
        <v>0</v>
      </c>
      <c r="H582" s="31">
        <v>0</v>
      </c>
      <c r="I582" s="31">
        <v>0</v>
      </c>
      <c r="J582" s="31">
        <v>0</v>
      </c>
      <c r="K582" s="33">
        <v>0</v>
      </c>
      <c r="L582" s="31">
        <v>0</v>
      </c>
      <c r="M582" s="31">
        <v>822</v>
      </c>
      <c r="N582" s="31">
        <v>3847395.52</v>
      </c>
      <c r="O582" s="31">
        <v>0</v>
      </c>
      <c r="P582" s="31">
        <v>0</v>
      </c>
      <c r="Q582" s="31">
        <v>0</v>
      </c>
      <c r="R582" s="31">
        <v>0</v>
      </c>
      <c r="S582" s="31">
        <v>0</v>
      </c>
      <c r="T582" s="31">
        <v>0</v>
      </c>
      <c r="U582" s="31">
        <v>0</v>
      </c>
      <c r="V582" s="31">
        <v>0</v>
      </c>
      <c r="W582" s="31">
        <v>0</v>
      </c>
      <c r="X582" s="31">
        <v>0</v>
      </c>
      <c r="Y582" s="31">
        <v>0</v>
      </c>
      <c r="Z582" s="31">
        <v>0</v>
      </c>
      <c r="AA582" s="31">
        <v>0</v>
      </c>
      <c r="AB582" s="31">
        <v>0</v>
      </c>
      <c r="AC582" s="31">
        <v>57710.93</v>
      </c>
      <c r="AD582" s="31">
        <v>100000</v>
      </c>
      <c r="AE582" s="31">
        <v>0</v>
      </c>
      <c r="AF582" s="34">
        <v>2021</v>
      </c>
      <c r="AG582" s="34">
        <v>2021</v>
      </c>
      <c r="AH582" s="35">
        <v>2021</v>
      </c>
      <c r="AT582" s="20" t="e">
        <f t="shared" si="123"/>
        <v>#N/A</v>
      </c>
      <c r="BZ582" s="71"/>
      <c r="CD582" s="20" t="e">
        <f t="shared" si="114"/>
        <v>#N/A</v>
      </c>
    </row>
    <row r="583" spans="1:82" ht="61.5" x14ac:dyDescent="0.85">
      <c r="A583" s="20">
        <v>1</v>
      </c>
      <c r="B583" s="66">
        <f>SUBTOTAL(103,$A$554:A583)</f>
        <v>30</v>
      </c>
      <c r="C583" s="24" t="s">
        <v>563</v>
      </c>
      <c r="D583" s="31">
        <f t="shared" si="121"/>
        <v>4412836.3</v>
      </c>
      <c r="E583" s="31">
        <v>0</v>
      </c>
      <c r="F583" s="31">
        <v>0</v>
      </c>
      <c r="G583" s="31">
        <v>0</v>
      </c>
      <c r="H583" s="31">
        <v>0</v>
      </c>
      <c r="I583" s="31">
        <v>0</v>
      </c>
      <c r="J583" s="31">
        <v>0</v>
      </c>
      <c r="K583" s="33">
        <v>0</v>
      </c>
      <c r="L583" s="31">
        <v>0</v>
      </c>
      <c r="M583" s="31">
        <v>897.3</v>
      </c>
      <c r="N583" s="31">
        <v>4199838.72</v>
      </c>
      <c r="O583" s="31">
        <v>0</v>
      </c>
      <c r="P583" s="31">
        <v>0</v>
      </c>
      <c r="Q583" s="31">
        <v>0</v>
      </c>
      <c r="R583" s="31">
        <v>0</v>
      </c>
      <c r="S583" s="31">
        <v>0</v>
      </c>
      <c r="T583" s="31">
        <v>0</v>
      </c>
      <c r="U583" s="31">
        <v>0</v>
      </c>
      <c r="V583" s="31">
        <v>0</v>
      </c>
      <c r="W583" s="31">
        <v>0</v>
      </c>
      <c r="X583" s="31">
        <v>0</v>
      </c>
      <c r="Y583" s="31">
        <v>0</v>
      </c>
      <c r="Z583" s="31">
        <v>0</v>
      </c>
      <c r="AA583" s="31">
        <v>0</v>
      </c>
      <c r="AB583" s="31">
        <v>0</v>
      </c>
      <c r="AC583" s="31">
        <v>62997.58</v>
      </c>
      <c r="AD583" s="31">
        <v>150000</v>
      </c>
      <c r="AE583" s="31">
        <v>0</v>
      </c>
      <c r="AF583" s="34">
        <v>2021</v>
      </c>
      <c r="AG583" s="34">
        <v>2021</v>
      </c>
      <c r="AH583" s="35">
        <v>2021</v>
      </c>
      <c r="AT583" s="20" t="e">
        <f t="shared" si="123"/>
        <v>#N/A</v>
      </c>
      <c r="BZ583" s="71"/>
      <c r="CD583" s="20" t="e">
        <f t="shared" si="114"/>
        <v>#N/A</v>
      </c>
    </row>
    <row r="584" spans="1:82" ht="61.5" x14ac:dyDescent="0.85">
      <c r="A584" s="20">
        <v>1</v>
      </c>
      <c r="B584" s="66">
        <f>SUBTOTAL(103,$A$554:A584)</f>
        <v>31</v>
      </c>
      <c r="C584" s="24" t="s">
        <v>564</v>
      </c>
      <c r="D584" s="31">
        <f t="shared" si="121"/>
        <v>4448638.5999999996</v>
      </c>
      <c r="E584" s="31">
        <v>0</v>
      </c>
      <c r="F584" s="31">
        <v>0</v>
      </c>
      <c r="G584" s="31">
        <v>0</v>
      </c>
      <c r="H584" s="31">
        <v>0</v>
      </c>
      <c r="I584" s="31">
        <v>0</v>
      </c>
      <c r="J584" s="31">
        <v>0</v>
      </c>
      <c r="K584" s="33">
        <v>0</v>
      </c>
      <c r="L584" s="31">
        <v>0</v>
      </c>
      <c r="M584" s="31">
        <v>0</v>
      </c>
      <c r="N584" s="31">
        <v>0</v>
      </c>
      <c r="O584" s="31">
        <v>0</v>
      </c>
      <c r="P584" s="31">
        <v>0</v>
      </c>
      <c r="Q584" s="31">
        <v>1047.25</v>
      </c>
      <c r="R584" s="31">
        <v>4284373</v>
      </c>
      <c r="S584" s="31">
        <v>0</v>
      </c>
      <c r="T584" s="31">
        <v>0</v>
      </c>
      <c r="U584" s="31">
        <v>0</v>
      </c>
      <c r="V584" s="31">
        <v>0</v>
      </c>
      <c r="W584" s="31">
        <v>0</v>
      </c>
      <c r="X584" s="31">
        <v>0</v>
      </c>
      <c r="Y584" s="31">
        <v>0</v>
      </c>
      <c r="Z584" s="31">
        <v>0</v>
      </c>
      <c r="AA584" s="31">
        <v>0</v>
      </c>
      <c r="AB584" s="31">
        <v>0</v>
      </c>
      <c r="AC584" s="31">
        <v>64265.599999999999</v>
      </c>
      <c r="AD584" s="31">
        <v>100000</v>
      </c>
      <c r="AE584" s="31">
        <v>0</v>
      </c>
      <c r="AF584" s="34">
        <v>2021</v>
      </c>
      <c r="AG584" s="34">
        <v>2021</v>
      </c>
      <c r="AH584" s="35">
        <v>2021</v>
      </c>
      <c r="AT584" s="20" t="e">
        <f t="shared" si="123"/>
        <v>#N/A</v>
      </c>
      <c r="BZ584" s="71"/>
      <c r="CD584" s="20" t="e">
        <f t="shared" si="114"/>
        <v>#N/A</v>
      </c>
    </row>
    <row r="585" spans="1:82" ht="61.5" x14ac:dyDescent="0.85">
      <c r="A585" s="20">
        <v>1</v>
      </c>
      <c r="B585" s="66">
        <f>SUBTOTAL(103,$A$554:A585)</f>
        <v>32</v>
      </c>
      <c r="C585" s="24" t="s">
        <v>1681</v>
      </c>
      <c r="D585" s="31">
        <f t="shared" si="121"/>
        <v>2397304.5699999998</v>
      </c>
      <c r="E585" s="31">
        <v>0</v>
      </c>
      <c r="F585" s="31">
        <v>0</v>
      </c>
      <c r="G585" s="31">
        <v>0</v>
      </c>
      <c r="H585" s="31">
        <v>0</v>
      </c>
      <c r="I585" s="31">
        <v>0</v>
      </c>
      <c r="J585" s="31">
        <v>0</v>
      </c>
      <c r="K585" s="33">
        <v>0</v>
      </c>
      <c r="L585" s="31">
        <v>0</v>
      </c>
      <c r="M585" s="31">
        <v>485</v>
      </c>
      <c r="N585" s="31">
        <v>2263354.2599999998</v>
      </c>
      <c r="O585" s="31">
        <v>0</v>
      </c>
      <c r="P585" s="31">
        <v>0</v>
      </c>
      <c r="Q585" s="31">
        <v>0</v>
      </c>
      <c r="R585" s="31">
        <v>0</v>
      </c>
      <c r="S585" s="31">
        <v>0</v>
      </c>
      <c r="T585" s="31">
        <v>0</v>
      </c>
      <c r="U585" s="31">
        <v>0</v>
      </c>
      <c r="V585" s="31">
        <v>0</v>
      </c>
      <c r="W585" s="31">
        <v>0</v>
      </c>
      <c r="X585" s="31">
        <v>0</v>
      </c>
      <c r="Y585" s="31">
        <v>0</v>
      </c>
      <c r="Z585" s="31">
        <v>0</v>
      </c>
      <c r="AA585" s="31">
        <v>0</v>
      </c>
      <c r="AB585" s="31">
        <v>0</v>
      </c>
      <c r="AC585" s="31">
        <v>33950.31</v>
      </c>
      <c r="AD585" s="31">
        <v>100000</v>
      </c>
      <c r="AE585" s="31">
        <v>0</v>
      </c>
      <c r="AF585" s="34">
        <v>2021</v>
      </c>
      <c r="AG585" s="34">
        <v>2021</v>
      </c>
      <c r="AH585" s="35">
        <v>2021</v>
      </c>
      <c r="AT585" s="20" t="e">
        <f t="shared" si="123"/>
        <v>#N/A</v>
      </c>
      <c r="BZ585" s="71"/>
      <c r="CD585" s="20" t="e">
        <f t="shared" si="114"/>
        <v>#N/A</v>
      </c>
    </row>
    <row r="586" spans="1:82" ht="61.5" x14ac:dyDescent="0.85">
      <c r="A586" s="20">
        <v>1</v>
      </c>
      <c r="B586" s="66">
        <f>SUBTOTAL(103,$A$554:A586)</f>
        <v>33</v>
      </c>
      <c r="C586" s="24" t="s">
        <v>565</v>
      </c>
      <c r="D586" s="31">
        <f t="shared" si="121"/>
        <v>2564514.5199999996</v>
      </c>
      <c r="E586" s="31">
        <v>0</v>
      </c>
      <c r="F586" s="31">
        <v>0</v>
      </c>
      <c r="G586" s="31">
        <v>0</v>
      </c>
      <c r="H586" s="31">
        <v>0</v>
      </c>
      <c r="I586" s="31">
        <v>0</v>
      </c>
      <c r="J586" s="31">
        <v>0</v>
      </c>
      <c r="K586" s="33">
        <v>0</v>
      </c>
      <c r="L586" s="31">
        <v>0</v>
      </c>
      <c r="M586" s="31">
        <v>606</v>
      </c>
      <c r="N586" s="31">
        <v>2425477.84</v>
      </c>
      <c r="O586" s="31">
        <v>0</v>
      </c>
      <c r="P586" s="31">
        <v>0</v>
      </c>
      <c r="Q586" s="31">
        <v>0</v>
      </c>
      <c r="R586" s="31">
        <v>0</v>
      </c>
      <c r="S586" s="31">
        <v>0</v>
      </c>
      <c r="T586" s="31">
        <v>0</v>
      </c>
      <c r="U586" s="31">
        <v>0</v>
      </c>
      <c r="V586" s="31">
        <v>0</v>
      </c>
      <c r="W586" s="31">
        <v>0</v>
      </c>
      <c r="X586" s="31">
        <v>0</v>
      </c>
      <c r="Y586" s="31">
        <v>0</v>
      </c>
      <c r="Z586" s="31">
        <v>0</v>
      </c>
      <c r="AA586" s="31">
        <v>0</v>
      </c>
      <c r="AB586" s="31">
        <v>0</v>
      </c>
      <c r="AC586" s="31">
        <v>36382.17</v>
      </c>
      <c r="AD586" s="31">
        <v>102654.51</v>
      </c>
      <c r="AE586" s="31">
        <v>0</v>
      </c>
      <c r="AF586" s="34">
        <v>2021</v>
      </c>
      <c r="AG586" s="34">
        <v>2021</v>
      </c>
      <c r="AH586" s="35">
        <v>2021</v>
      </c>
      <c r="AT586" s="20" t="e">
        <f t="shared" si="123"/>
        <v>#N/A</v>
      </c>
      <c r="BZ586" s="71"/>
      <c r="CD586" s="20" t="e">
        <f t="shared" si="114"/>
        <v>#N/A</v>
      </c>
    </row>
    <row r="587" spans="1:82" ht="61.5" x14ac:dyDescent="0.85">
      <c r="A587" s="20">
        <v>1</v>
      </c>
      <c r="B587" s="66">
        <f>SUBTOTAL(103,$A$554:A587)</f>
        <v>34</v>
      </c>
      <c r="C587" s="24" t="s">
        <v>1117</v>
      </c>
      <c r="D587" s="31">
        <f t="shared" si="121"/>
        <v>7813143.0999999996</v>
      </c>
      <c r="E587" s="31">
        <v>0</v>
      </c>
      <c r="F587" s="31">
        <v>0</v>
      </c>
      <c r="G587" s="31">
        <v>0</v>
      </c>
      <c r="H587" s="31">
        <v>0</v>
      </c>
      <c r="I587" s="31">
        <v>0</v>
      </c>
      <c r="J587" s="31">
        <v>0</v>
      </c>
      <c r="K587" s="33">
        <v>4</v>
      </c>
      <c r="L587" s="31">
        <v>7693143.0999999996</v>
      </c>
      <c r="M587" s="31">
        <v>0</v>
      </c>
      <c r="N587" s="31">
        <v>0</v>
      </c>
      <c r="O587" s="31">
        <v>0</v>
      </c>
      <c r="P587" s="31">
        <v>0</v>
      </c>
      <c r="Q587" s="31">
        <v>0</v>
      </c>
      <c r="R587" s="31">
        <v>0</v>
      </c>
      <c r="S587" s="31">
        <v>0</v>
      </c>
      <c r="T587" s="31">
        <v>0</v>
      </c>
      <c r="U587" s="31">
        <v>0</v>
      </c>
      <c r="V587" s="31">
        <v>0</v>
      </c>
      <c r="W587" s="31">
        <v>0</v>
      </c>
      <c r="X587" s="31">
        <v>0</v>
      </c>
      <c r="Y587" s="31">
        <v>0</v>
      </c>
      <c r="Z587" s="31">
        <v>0</v>
      </c>
      <c r="AA587" s="31">
        <v>0</v>
      </c>
      <c r="AB587" s="31">
        <v>0</v>
      </c>
      <c r="AC587" s="31">
        <v>0</v>
      </c>
      <c r="AD587" s="31">
        <v>120000</v>
      </c>
      <c r="AE587" s="31">
        <v>0</v>
      </c>
      <c r="AF587" s="34">
        <v>2021</v>
      </c>
      <c r="AG587" s="34">
        <v>2021</v>
      </c>
      <c r="AH587" s="35" t="s">
        <v>274</v>
      </c>
      <c r="BZ587" s="71"/>
      <c r="CD587" s="20" t="e">
        <f t="shared" si="114"/>
        <v>#N/A</v>
      </c>
    </row>
    <row r="588" spans="1:82" ht="61.5" x14ac:dyDescent="0.85">
      <c r="A588" s="20">
        <v>1</v>
      </c>
      <c r="B588" s="66">
        <f>SUBTOTAL(103,$A$554:A588)</f>
        <v>35</v>
      </c>
      <c r="C588" s="24" t="s">
        <v>566</v>
      </c>
      <c r="D588" s="31">
        <f t="shared" si="121"/>
        <v>2129444.67</v>
      </c>
      <c r="E588" s="31">
        <v>0</v>
      </c>
      <c r="F588" s="31">
        <v>0</v>
      </c>
      <c r="G588" s="31">
        <v>0</v>
      </c>
      <c r="H588" s="31">
        <v>0</v>
      </c>
      <c r="I588" s="31">
        <v>0</v>
      </c>
      <c r="J588" s="31">
        <v>0</v>
      </c>
      <c r="K588" s="33">
        <v>1</v>
      </c>
      <c r="L588" s="31">
        <v>2079444.67</v>
      </c>
      <c r="M588" s="31">
        <v>0</v>
      </c>
      <c r="N588" s="31">
        <v>0</v>
      </c>
      <c r="O588" s="31">
        <v>0</v>
      </c>
      <c r="P588" s="31">
        <v>0</v>
      </c>
      <c r="Q588" s="31">
        <v>0</v>
      </c>
      <c r="R588" s="31">
        <v>0</v>
      </c>
      <c r="S588" s="31">
        <v>0</v>
      </c>
      <c r="T588" s="31">
        <v>0</v>
      </c>
      <c r="U588" s="31">
        <v>0</v>
      </c>
      <c r="V588" s="31">
        <v>0</v>
      </c>
      <c r="W588" s="31">
        <v>0</v>
      </c>
      <c r="X588" s="31">
        <v>0</v>
      </c>
      <c r="Y588" s="31">
        <v>0</v>
      </c>
      <c r="Z588" s="31">
        <v>0</v>
      </c>
      <c r="AA588" s="31">
        <v>0</v>
      </c>
      <c r="AB588" s="31">
        <v>0</v>
      </c>
      <c r="AC588" s="31">
        <v>0</v>
      </c>
      <c r="AD588" s="31">
        <v>50000</v>
      </c>
      <c r="AE588" s="31">
        <v>0</v>
      </c>
      <c r="AF588" s="34">
        <v>2021</v>
      </c>
      <c r="AG588" s="34">
        <v>2021</v>
      </c>
      <c r="AH588" s="35" t="s">
        <v>274</v>
      </c>
      <c r="AT588" s="20" t="e">
        <f t="shared" ref="AT588:AT593" si="124">VLOOKUP(C588,AW:AX,2,FALSE)</f>
        <v>#N/A</v>
      </c>
      <c r="BZ588" s="71"/>
      <c r="CD588" s="20" t="e">
        <f t="shared" si="114"/>
        <v>#N/A</v>
      </c>
    </row>
    <row r="589" spans="1:82" ht="61.5" x14ac:dyDescent="0.85">
      <c r="A589" s="20">
        <v>1</v>
      </c>
      <c r="B589" s="66">
        <f>SUBTOTAL(103,$A$554:A589)</f>
        <v>36</v>
      </c>
      <c r="C589" s="24" t="s">
        <v>567</v>
      </c>
      <c r="D589" s="31">
        <f t="shared" si="121"/>
        <v>5610855.6899999995</v>
      </c>
      <c r="E589" s="31">
        <v>0</v>
      </c>
      <c r="F589" s="31">
        <v>0</v>
      </c>
      <c r="G589" s="31">
        <v>0</v>
      </c>
      <c r="H589" s="31">
        <v>0</v>
      </c>
      <c r="I589" s="31">
        <v>0</v>
      </c>
      <c r="J589" s="31">
        <v>0</v>
      </c>
      <c r="K589" s="33">
        <v>0</v>
      </c>
      <c r="L589" s="31">
        <v>0</v>
      </c>
      <c r="M589" s="31">
        <v>1160</v>
      </c>
      <c r="N589" s="31">
        <v>5429414.4699999997</v>
      </c>
      <c r="O589" s="31">
        <v>0</v>
      </c>
      <c r="P589" s="31">
        <v>0</v>
      </c>
      <c r="Q589" s="31">
        <v>0</v>
      </c>
      <c r="R589" s="31">
        <v>0</v>
      </c>
      <c r="S589" s="31">
        <v>0</v>
      </c>
      <c r="T589" s="31">
        <v>0</v>
      </c>
      <c r="U589" s="31">
        <v>0</v>
      </c>
      <c r="V589" s="31">
        <v>0</v>
      </c>
      <c r="W589" s="31">
        <v>0</v>
      </c>
      <c r="X589" s="31">
        <v>0</v>
      </c>
      <c r="Y589" s="31">
        <v>0</v>
      </c>
      <c r="Z589" s="31">
        <v>0</v>
      </c>
      <c r="AA589" s="31">
        <v>0</v>
      </c>
      <c r="AB589" s="31">
        <v>0</v>
      </c>
      <c r="AC589" s="31">
        <v>81441.22</v>
      </c>
      <c r="AD589" s="31">
        <v>100000</v>
      </c>
      <c r="AE589" s="31">
        <v>0</v>
      </c>
      <c r="AF589" s="34">
        <v>2021</v>
      </c>
      <c r="AG589" s="34">
        <v>2021</v>
      </c>
      <c r="AH589" s="35">
        <v>2021</v>
      </c>
      <c r="AT589" s="20" t="e">
        <f t="shared" si="124"/>
        <v>#N/A</v>
      </c>
      <c r="BZ589" s="71"/>
      <c r="CD589" s="20" t="e">
        <f t="shared" si="114"/>
        <v>#N/A</v>
      </c>
    </row>
    <row r="590" spans="1:82" ht="61.5" x14ac:dyDescent="0.85">
      <c r="A590" s="20">
        <v>1</v>
      </c>
      <c r="B590" s="66">
        <f>SUBTOTAL(103,$A$554:A590)</f>
        <v>37</v>
      </c>
      <c r="C590" s="24" t="s">
        <v>568</v>
      </c>
      <c r="D590" s="31">
        <f t="shared" si="121"/>
        <v>2171781.17</v>
      </c>
      <c r="E590" s="31">
        <v>0</v>
      </c>
      <c r="F590" s="31">
        <v>0</v>
      </c>
      <c r="G590" s="31">
        <v>0</v>
      </c>
      <c r="H590" s="31">
        <v>0</v>
      </c>
      <c r="I590" s="31">
        <v>0</v>
      </c>
      <c r="J590" s="31">
        <v>0</v>
      </c>
      <c r="K590" s="33">
        <v>0</v>
      </c>
      <c r="L590" s="31">
        <v>0</v>
      </c>
      <c r="M590" s="31">
        <v>432.6</v>
      </c>
      <c r="N590" s="31">
        <v>2070720.36</v>
      </c>
      <c r="O590" s="31">
        <v>0</v>
      </c>
      <c r="P590" s="31">
        <v>0</v>
      </c>
      <c r="Q590" s="31">
        <v>0</v>
      </c>
      <c r="R590" s="31">
        <v>0</v>
      </c>
      <c r="S590" s="31">
        <v>0</v>
      </c>
      <c r="T590" s="31">
        <v>0</v>
      </c>
      <c r="U590" s="31">
        <v>0</v>
      </c>
      <c r="V590" s="31">
        <v>0</v>
      </c>
      <c r="W590" s="31">
        <v>0</v>
      </c>
      <c r="X590" s="31">
        <v>0</v>
      </c>
      <c r="Y590" s="31">
        <v>0</v>
      </c>
      <c r="Z590" s="31">
        <v>0</v>
      </c>
      <c r="AA590" s="31">
        <v>0</v>
      </c>
      <c r="AB590" s="31">
        <v>0</v>
      </c>
      <c r="AC590" s="31">
        <v>31060.81</v>
      </c>
      <c r="AD590" s="31">
        <v>70000</v>
      </c>
      <c r="AE590" s="31">
        <v>0</v>
      </c>
      <c r="AF590" s="34">
        <v>2021</v>
      </c>
      <c r="AG590" s="34">
        <v>2021</v>
      </c>
      <c r="AH590" s="35">
        <v>2021</v>
      </c>
      <c r="AT590" s="20" t="e">
        <f t="shared" si="124"/>
        <v>#N/A</v>
      </c>
      <c r="BZ590" s="71"/>
      <c r="CD590" s="20" t="e">
        <f t="shared" si="114"/>
        <v>#N/A</v>
      </c>
    </row>
    <row r="591" spans="1:82" ht="61.5" x14ac:dyDescent="0.85">
      <c r="A591" s="20">
        <v>1</v>
      </c>
      <c r="B591" s="66">
        <f>SUBTOTAL(103,$A$554:A591)</f>
        <v>38</v>
      </c>
      <c r="C591" s="24" t="s">
        <v>569</v>
      </c>
      <c r="D591" s="31">
        <f t="shared" si="121"/>
        <v>763048.75</v>
      </c>
      <c r="E591" s="31">
        <v>0</v>
      </c>
      <c r="F591" s="31">
        <v>0</v>
      </c>
      <c r="G591" s="31">
        <v>0</v>
      </c>
      <c r="H591" s="31">
        <v>0</v>
      </c>
      <c r="I591" s="31">
        <v>0</v>
      </c>
      <c r="J591" s="31">
        <v>0</v>
      </c>
      <c r="K591" s="33">
        <v>0</v>
      </c>
      <c r="L591" s="31">
        <v>0</v>
      </c>
      <c r="M591" s="31">
        <v>185.8</v>
      </c>
      <c r="N591" s="31">
        <v>653250</v>
      </c>
      <c r="O591" s="31">
        <v>0</v>
      </c>
      <c r="P591" s="31">
        <v>0</v>
      </c>
      <c r="Q591" s="31">
        <v>0</v>
      </c>
      <c r="R591" s="31">
        <v>0</v>
      </c>
      <c r="S591" s="31">
        <v>0</v>
      </c>
      <c r="T591" s="31">
        <v>0</v>
      </c>
      <c r="U591" s="31">
        <v>0</v>
      </c>
      <c r="V591" s="31">
        <v>0</v>
      </c>
      <c r="W591" s="31">
        <v>0</v>
      </c>
      <c r="X591" s="31">
        <v>0</v>
      </c>
      <c r="Y591" s="31">
        <v>0</v>
      </c>
      <c r="Z591" s="31">
        <v>0</v>
      </c>
      <c r="AA591" s="31">
        <v>0</v>
      </c>
      <c r="AB591" s="31">
        <v>0</v>
      </c>
      <c r="AC591" s="31">
        <v>9798.75</v>
      </c>
      <c r="AD591" s="31">
        <v>100000</v>
      </c>
      <c r="AE591" s="31">
        <v>0</v>
      </c>
      <c r="AF591" s="34">
        <v>2021</v>
      </c>
      <c r="AG591" s="34">
        <v>2021</v>
      </c>
      <c r="AH591" s="35">
        <v>2021</v>
      </c>
      <c r="AT591" s="20" t="e">
        <f t="shared" si="124"/>
        <v>#N/A</v>
      </c>
      <c r="BZ591" s="71"/>
      <c r="CD591" s="20" t="e">
        <f t="shared" si="114"/>
        <v>#N/A</v>
      </c>
    </row>
    <row r="592" spans="1:82" ht="61.5" x14ac:dyDescent="0.85">
      <c r="A592" s="20">
        <v>1</v>
      </c>
      <c r="B592" s="66">
        <f>SUBTOTAL(103,$A$554:A592)</f>
        <v>39</v>
      </c>
      <c r="C592" s="24" t="s">
        <v>570</v>
      </c>
      <c r="D592" s="31">
        <f t="shared" si="121"/>
        <v>2794940.58</v>
      </c>
      <c r="E592" s="31">
        <v>0</v>
      </c>
      <c r="F592" s="31">
        <v>0</v>
      </c>
      <c r="G592" s="31">
        <v>0</v>
      </c>
      <c r="H592" s="31">
        <v>0</v>
      </c>
      <c r="I592" s="31">
        <v>0</v>
      </c>
      <c r="J592" s="31">
        <v>0</v>
      </c>
      <c r="K592" s="33">
        <v>0</v>
      </c>
      <c r="L592" s="31">
        <v>0</v>
      </c>
      <c r="M592" s="31">
        <v>642</v>
      </c>
      <c r="N592" s="31">
        <v>2655113.87</v>
      </c>
      <c r="O592" s="31">
        <v>0</v>
      </c>
      <c r="P592" s="31">
        <v>0</v>
      </c>
      <c r="Q592" s="31">
        <v>0</v>
      </c>
      <c r="R592" s="31">
        <v>0</v>
      </c>
      <c r="S592" s="31">
        <v>0</v>
      </c>
      <c r="T592" s="31">
        <v>0</v>
      </c>
      <c r="U592" s="31">
        <v>0</v>
      </c>
      <c r="V592" s="31">
        <v>0</v>
      </c>
      <c r="W592" s="31">
        <v>0</v>
      </c>
      <c r="X592" s="31">
        <v>0</v>
      </c>
      <c r="Y592" s="31">
        <v>0</v>
      </c>
      <c r="Z592" s="31">
        <v>0</v>
      </c>
      <c r="AA592" s="31">
        <v>0</v>
      </c>
      <c r="AB592" s="31">
        <v>0</v>
      </c>
      <c r="AC592" s="31">
        <v>39826.71</v>
      </c>
      <c r="AD592" s="31">
        <v>100000</v>
      </c>
      <c r="AE592" s="31">
        <v>0</v>
      </c>
      <c r="AF592" s="34">
        <v>2021</v>
      </c>
      <c r="AG592" s="34">
        <v>2021</v>
      </c>
      <c r="AH592" s="35">
        <v>2021</v>
      </c>
      <c r="AT592" s="20" t="e">
        <f t="shared" si="124"/>
        <v>#N/A</v>
      </c>
      <c r="BZ592" s="71"/>
      <c r="CD592" s="20" t="e">
        <f t="shared" si="114"/>
        <v>#N/A</v>
      </c>
    </row>
    <row r="593" spans="1:82" ht="61.5" x14ac:dyDescent="0.85">
      <c r="A593" s="20">
        <v>1</v>
      </c>
      <c r="B593" s="66">
        <f>SUBTOTAL(103,$A$554:A593)</f>
        <v>40</v>
      </c>
      <c r="C593" s="24" t="s">
        <v>824</v>
      </c>
      <c r="D593" s="31">
        <f t="shared" si="121"/>
        <v>1584967.92</v>
      </c>
      <c r="E593" s="31">
        <v>0</v>
      </c>
      <c r="F593" s="31">
        <v>0</v>
      </c>
      <c r="G593" s="31">
        <v>0</v>
      </c>
      <c r="H593" s="31">
        <v>0</v>
      </c>
      <c r="I593" s="31">
        <v>0</v>
      </c>
      <c r="J593" s="31">
        <v>0</v>
      </c>
      <c r="K593" s="33">
        <v>0</v>
      </c>
      <c r="L593" s="31">
        <v>0</v>
      </c>
      <c r="M593" s="31">
        <v>300</v>
      </c>
      <c r="N593" s="31">
        <v>1492579.23</v>
      </c>
      <c r="O593" s="31">
        <v>0</v>
      </c>
      <c r="P593" s="31">
        <v>0</v>
      </c>
      <c r="Q593" s="31">
        <v>0</v>
      </c>
      <c r="R593" s="31">
        <v>0</v>
      </c>
      <c r="S593" s="31">
        <v>0</v>
      </c>
      <c r="T593" s="31">
        <v>0</v>
      </c>
      <c r="U593" s="31">
        <v>0</v>
      </c>
      <c r="V593" s="31">
        <v>0</v>
      </c>
      <c r="W593" s="31">
        <v>0</v>
      </c>
      <c r="X593" s="31">
        <v>0</v>
      </c>
      <c r="Y593" s="31">
        <v>0</v>
      </c>
      <c r="Z593" s="31">
        <v>0</v>
      </c>
      <c r="AA593" s="31">
        <v>0</v>
      </c>
      <c r="AB593" s="31">
        <v>0</v>
      </c>
      <c r="AC593" s="31">
        <v>22388.69</v>
      </c>
      <c r="AD593" s="31">
        <v>70000</v>
      </c>
      <c r="AE593" s="31">
        <v>0</v>
      </c>
      <c r="AF593" s="34">
        <v>2021</v>
      </c>
      <c r="AG593" s="34">
        <v>2021</v>
      </c>
      <c r="AH593" s="35">
        <v>2021</v>
      </c>
      <c r="AT593" s="20" t="e">
        <f t="shared" si="124"/>
        <v>#N/A</v>
      </c>
      <c r="BZ593" s="71"/>
      <c r="CD593" s="20" t="e">
        <f t="shared" si="114"/>
        <v>#N/A</v>
      </c>
    </row>
    <row r="594" spans="1:82" ht="61.5" x14ac:dyDescent="0.85">
      <c r="A594" s="20">
        <v>1</v>
      </c>
      <c r="B594" s="66">
        <f>SUBTOTAL(103,$A$554:A594)</f>
        <v>41</v>
      </c>
      <c r="C594" s="24" t="s">
        <v>1666</v>
      </c>
      <c r="D594" s="31">
        <f t="shared" si="121"/>
        <v>9602513.2699999996</v>
      </c>
      <c r="E594" s="31">
        <v>0</v>
      </c>
      <c r="F594" s="31">
        <v>0</v>
      </c>
      <c r="G594" s="31">
        <v>0</v>
      </c>
      <c r="H594" s="31">
        <v>0</v>
      </c>
      <c r="I594" s="31">
        <v>0</v>
      </c>
      <c r="J594" s="31">
        <v>0</v>
      </c>
      <c r="K594" s="33">
        <v>0</v>
      </c>
      <c r="L594" s="31">
        <v>0</v>
      </c>
      <c r="M594" s="31">
        <v>2300</v>
      </c>
      <c r="N594" s="31">
        <v>9362082.0399999991</v>
      </c>
      <c r="O594" s="31">
        <v>0</v>
      </c>
      <c r="P594" s="31">
        <v>0</v>
      </c>
      <c r="Q594" s="31">
        <v>0</v>
      </c>
      <c r="R594" s="31">
        <v>0</v>
      </c>
      <c r="S594" s="31">
        <v>0</v>
      </c>
      <c r="T594" s="31">
        <v>0</v>
      </c>
      <c r="U594" s="31">
        <v>0</v>
      </c>
      <c r="V594" s="31">
        <v>0</v>
      </c>
      <c r="W594" s="31">
        <v>0</v>
      </c>
      <c r="X594" s="31">
        <v>0</v>
      </c>
      <c r="Y594" s="31">
        <v>0</v>
      </c>
      <c r="Z594" s="31">
        <v>0</v>
      </c>
      <c r="AA594" s="31">
        <v>0</v>
      </c>
      <c r="AB594" s="31">
        <v>0</v>
      </c>
      <c r="AC594" s="31">
        <v>140431.23000000001</v>
      </c>
      <c r="AD594" s="31">
        <v>100000</v>
      </c>
      <c r="AE594" s="31">
        <v>0</v>
      </c>
      <c r="AF594" s="34">
        <v>2021</v>
      </c>
      <c r="AG594" s="34">
        <v>2021</v>
      </c>
      <c r="AH594" s="35">
        <v>2021</v>
      </c>
      <c r="BZ594" s="71"/>
      <c r="CD594" s="20" t="e">
        <f t="shared" si="114"/>
        <v>#N/A</v>
      </c>
    </row>
    <row r="595" spans="1:82" ht="61.5" x14ac:dyDescent="0.85">
      <c r="A595" s="20">
        <v>1</v>
      </c>
      <c r="B595" s="66">
        <f>SUBTOTAL(103,$A$554:A595)</f>
        <v>42</v>
      </c>
      <c r="C595" s="24" t="s">
        <v>571</v>
      </c>
      <c r="D595" s="31">
        <f t="shared" si="121"/>
        <v>5877399.3300000001</v>
      </c>
      <c r="E595" s="31">
        <v>0</v>
      </c>
      <c r="F595" s="31">
        <v>0</v>
      </c>
      <c r="G595" s="31">
        <v>0</v>
      </c>
      <c r="H595" s="31">
        <v>0</v>
      </c>
      <c r="I595" s="31">
        <v>0</v>
      </c>
      <c r="J595" s="31">
        <v>0</v>
      </c>
      <c r="K595" s="33">
        <v>0</v>
      </c>
      <c r="L595" s="31">
        <v>0</v>
      </c>
      <c r="M595" s="31">
        <v>1200</v>
      </c>
      <c r="N595" s="31">
        <v>5692019.04</v>
      </c>
      <c r="O595" s="31">
        <v>0</v>
      </c>
      <c r="P595" s="31">
        <v>0</v>
      </c>
      <c r="Q595" s="31">
        <v>0</v>
      </c>
      <c r="R595" s="31">
        <v>0</v>
      </c>
      <c r="S595" s="31">
        <v>0</v>
      </c>
      <c r="T595" s="31">
        <v>0</v>
      </c>
      <c r="U595" s="31">
        <v>0</v>
      </c>
      <c r="V595" s="31">
        <v>0</v>
      </c>
      <c r="W595" s="31">
        <v>0</v>
      </c>
      <c r="X595" s="31">
        <v>0</v>
      </c>
      <c r="Y595" s="31">
        <v>0</v>
      </c>
      <c r="Z595" s="31">
        <v>0</v>
      </c>
      <c r="AA595" s="31">
        <v>0</v>
      </c>
      <c r="AB595" s="31">
        <v>0</v>
      </c>
      <c r="AC595" s="31">
        <v>85380.29</v>
      </c>
      <c r="AD595" s="31">
        <v>100000</v>
      </c>
      <c r="AE595" s="31">
        <v>0</v>
      </c>
      <c r="AF595" s="34">
        <v>2021</v>
      </c>
      <c r="AG595" s="34">
        <v>2021</v>
      </c>
      <c r="AH595" s="35">
        <v>2021</v>
      </c>
      <c r="AT595" s="20" t="e">
        <f>VLOOKUP(C595,AW:AX,2,FALSE)</f>
        <v>#N/A</v>
      </c>
      <c r="BZ595" s="71"/>
      <c r="CD595" s="20" t="e">
        <f t="shared" si="114"/>
        <v>#N/A</v>
      </c>
    </row>
    <row r="596" spans="1:82" ht="61.5" x14ac:dyDescent="0.85">
      <c r="A596" s="20">
        <v>1</v>
      </c>
      <c r="B596" s="66">
        <f>SUBTOTAL(103,$A$554:A596)</f>
        <v>43</v>
      </c>
      <c r="C596" s="24" t="s">
        <v>572</v>
      </c>
      <c r="D596" s="31">
        <f t="shared" si="121"/>
        <v>2102735.67</v>
      </c>
      <c r="E596" s="31">
        <v>0</v>
      </c>
      <c r="F596" s="31">
        <v>0</v>
      </c>
      <c r="G596" s="31">
        <v>0</v>
      </c>
      <c r="H596" s="31">
        <v>0</v>
      </c>
      <c r="I596" s="31">
        <v>0</v>
      </c>
      <c r="J596" s="31">
        <v>0</v>
      </c>
      <c r="K596" s="33">
        <v>0</v>
      </c>
      <c r="L596" s="31">
        <v>0</v>
      </c>
      <c r="M596" s="31">
        <v>483</v>
      </c>
      <c r="N596" s="31">
        <v>1973138.59</v>
      </c>
      <c r="O596" s="31">
        <v>0</v>
      </c>
      <c r="P596" s="31">
        <v>0</v>
      </c>
      <c r="Q596" s="31">
        <v>0</v>
      </c>
      <c r="R596" s="31">
        <v>0</v>
      </c>
      <c r="S596" s="31">
        <v>0</v>
      </c>
      <c r="T596" s="31">
        <v>0</v>
      </c>
      <c r="U596" s="31">
        <v>0</v>
      </c>
      <c r="V596" s="31">
        <v>0</v>
      </c>
      <c r="W596" s="31">
        <v>0</v>
      </c>
      <c r="X596" s="31">
        <v>0</v>
      </c>
      <c r="Y596" s="31">
        <v>0</v>
      </c>
      <c r="Z596" s="31">
        <v>0</v>
      </c>
      <c r="AA596" s="31">
        <v>0</v>
      </c>
      <c r="AB596" s="31">
        <v>0</v>
      </c>
      <c r="AC596" s="31">
        <v>29597.08</v>
      </c>
      <c r="AD596" s="31">
        <v>100000</v>
      </c>
      <c r="AE596" s="31">
        <v>0</v>
      </c>
      <c r="AF596" s="34">
        <v>2021</v>
      </c>
      <c r="AG596" s="34">
        <v>2021</v>
      </c>
      <c r="AH596" s="35">
        <v>2021</v>
      </c>
      <c r="AT596" s="20" t="e">
        <f>VLOOKUP(C596,AW:AX,2,FALSE)</f>
        <v>#N/A</v>
      </c>
      <c r="BZ596" s="71"/>
      <c r="CD596" s="20" t="e">
        <f t="shared" si="114"/>
        <v>#N/A</v>
      </c>
    </row>
    <row r="597" spans="1:82" ht="61.5" x14ac:dyDescent="0.85">
      <c r="A597" s="20">
        <v>1</v>
      </c>
      <c r="B597" s="66">
        <f>SUBTOTAL(103,$A$554:A597)</f>
        <v>44</v>
      </c>
      <c r="C597" s="24" t="s">
        <v>573</v>
      </c>
      <c r="D597" s="31">
        <f t="shared" si="121"/>
        <v>2323274.2000000002</v>
      </c>
      <c r="E597" s="31">
        <v>0</v>
      </c>
      <c r="F597" s="31">
        <v>0</v>
      </c>
      <c r="G597" s="31">
        <v>0</v>
      </c>
      <c r="H597" s="31">
        <v>0</v>
      </c>
      <c r="I597" s="31">
        <v>0</v>
      </c>
      <c r="J597" s="31">
        <v>0</v>
      </c>
      <c r="K597" s="33">
        <v>0</v>
      </c>
      <c r="L597" s="31">
        <v>0</v>
      </c>
      <c r="M597" s="31">
        <v>506.2</v>
      </c>
      <c r="N597" s="31">
        <v>2190417.9300000002</v>
      </c>
      <c r="O597" s="31">
        <v>0</v>
      </c>
      <c r="P597" s="31">
        <v>0</v>
      </c>
      <c r="Q597" s="31">
        <v>0</v>
      </c>
      <c r="R597" s="31">
        <v>0</v>
      </c>
      <c r="S597" s="31">
        <v>0</v>
      </c>
      <c r="T597" s="31">
        <v>0</v>
      </c>
      <c r="U597" s="31">
        <v>0</v>
      </c>
      <c r="V597" s="31">
        <v>0</v>
      </c>
      <c r="W597" s="31">
        <v>0</v>
      </c>
      <c r="X597" s="31">
        <v>0</v>
      </c>
      <c r="Y597" s="31">
        <v>0</v>
      </c>
      <c r="Z597" s="31">
        <v>0</v>
      </c>
      <c r="AA597" s="31">
        <v>0</v>
      </c>
      <c r="AB597" s="31">
        <v>0</v>
      </c>
      <c r="AC597" s="31">
        <v>32856.269999999997</v>
      </c>
      <c r="AD597" s="31">
        <v>100000</v>
      </c>
      <c r="AE597" s="31">
        <v>0</v>
      </c>
      <c r="AF597" s="34">
        <v>2021</v>
      </c>
      <c r="AG597" s="34">
        <v>2021</v>
      </c>
      <c r="AH597" s="35">
        <v>2021</v>
      </c>
      <c r="AT597" s="20" t="e">
        <f>VLOOKUP(C597,AW:AX,2,FALSE)</f>
        <v>#N/A</v>
      </c>
      <c r="BZ597" s="71"/>
      <c r="CD597" s="20" t="e">
        <f t="shared" si="114"/>
        <v>#N/A</v>
      </c>
    </row>
    <row r="598" spans="1:82" ht="61.5" x14ac:dyDescent="0.85">
      <c r="A598" s="20">
        <v>1</v>
      </c>
      <c r="B598" s="66">
        <f>SUBTOTAL(103,$A$554:A598)</f>
        <v>45</v>
      </c>
      <c r="C598" s="24" t="s">
        <v>574</v>
      </c>
      <c r="D598" s="31">
        <f t="shared" si="121"/>
        <v>4748603.68</v>
      </c>
      <c r="E598" s="31">
        <v>0</v>
      </c>
      <c r="F598" s="31">
        <v>0</v>
      </c>
      <c r="G598" s="31">
        <v>0</v>
      </c>
      <c r="H598" s="31">
        <v>0</v>
      </c>
      <c r="I598" s="31">
        <v>0</v>
      </c>
      <c r="J598" s="31">
        <v>0</v>
      </c>
      <c r="K598" s="33">
        <v>0</v>
      </c>
      <c r="L598" s="31">
        <v>0</v>
      </c>
      <c r="M598" s="31">
        <v>960</v>
      </c>
      <c r="N598" s="31">
        <v>4579905.0999999996</v>
      </c>
      <c r="O598" s="31">
        <v>0</v>
      </c>
      <c r="P598" s="31">
        <v>0</v>
      </c>
      <c r="Q598" s="31">
        <v>0</v>
      </c>
      <c r="R598" s="31">
        <v>0</v>
      </c>
      <c r="S598" s="31">
        <v>0</v>
      </c>
      <c r="T598" s="31">
        <v>0</v>
      </c>
      <c r="U598" s="31">
        <v>0</v>
      </c>
      <c r="V598" s="31">
        <v>0</v>
      </c>
      <c r="W598" s="31">
        <v>0</v>
      </c>
      <c r="X598" s="31">
        <v>0</v>
      </c>
      <c r="Y598" s="31">
        <v>0</v>
      </c>
      <c r="Z598" s="31">
        <v>0</v>
      </c>
      <c r="AA598" s="31">
        <v>0</v>
      </c>
      <c r="AB598" s="31">
        <v>0</v>
      </c>
      <c r="AC598" s="31">
        <v>68698.58</v>
      </c>
      <c r="AD598" s="31">
        <v>100000</v>
      </c>
      <c r="AE598" s="31">
        <v>0</v>
      </c>
      <c r="AF598" s="34">
        <v>2021</v>
      </c>
      <c r="AG598" s="34">
        <v>2021</v>
      </c>
      <c r="AH598" s="35">
        <v>2021</v>
      </c>
      <c r="BZ598" s="71"/>
      <c r="CD598" s="20" t="e">
        <f t="shared" si="114"/>
        <v>#N/A</v>
      </c>
    </row>
    <row r="599" spans="1:82" ht="61.5" x14ac:dyDescent="0.85">
      <c r="A599" s="20">
        <v>1</v>
      </c>
      <c r="B599" s="66">
        <f>SUBTOTAL(103,$A$554:A599)</f>
        <v>46</v>
      </c>
      <c r="C599" s="24" t="s">
        <v>575</v>
      </c>
      <c r="D599" s="31">
        <f t="shared" si="121"/>
        <v>3192730.04</v>
      </c>
      <c r="E599" s="31">
        <v>0</v>
      </c>
      <c r="F599" s="31">
        <v>0</v>
      </c>
      <c r="G599" s="31">
        <v>0</v>
      </c>
      <c r="H599" s="31">
        <v>0</v>
      </c>
      <c r="I599" s="31">
        <v>0</v>
      </c>
      <c r="J599" s="31">
        <v>0</v>
      </c>
      <c r="K599" s="33">
        <v>0</v>
      </c>
      <c r="L599" s="31">
        <v>0</v>
      </c>
      <c r="M599" s="31">
        <v>651</v>
      </c>
      <c r="N599" s="31">
        <v>3047024.67</v>
      </c>
      <c r="O599" s="31">
        <v>0</v>
      </c>
      <c r="P599" s="31">
        <v>0</v>
      </c>
      <c r="Q599" s="31">
        <v>0</v>
      </c>
      <c r="R599" s="31">
        <v>0</v>
      </c>
      <c r="S599" s="31">
        <v>0</v>
      </c>
      <c r="T599" s="31">
        <v>0</v>
      </c>
      <c r="U599" s="31">
        <v>0</v>
      </c>
      <c r="V599" s="31">
        <v>0</v>
      </c>
      <c r="W599" s="31">
        <v>0</v>
      </c>
      <c r="X599" s="31">
        <v>0</v>
      </c>
      <c r="Y599" s="31">
        <v>0</v>
      </c>
      <c r="Z599" s="31">
        <v>0</v>
      </c>
      <c r="AA599" s="31">
        <v>0</v>
      </c>
      <c r="AB599" s="31">
        <v>0</v>
      </c>
      <c r="AC599" s="31">
        <v>45705.37</v>
      </c>
      <c r="AD599" s="31">
        <v>100000</v>
      </c>
      <c r="AE599" s="31">
        <v>0</v>
      </c>
      <c r="AF599" s="34">
        <v>2021</v>
      </c>
      <c r="AG599" s="34">
        <v>2021</v>
      </c>
      <c r="AH599" s="35">
        <v>2021</v>
      </c>
      <c r="AT599" s="20" t="e">
        <f>VLOOKUP(C599,AW:AX,2,FALSE)</f>
        <v>#N/A</v>
      </c>
      <c r="BZ599" s="71"/>
      <c r="CD599" s="20" t="e">
        <f t="shared" ref="CD599:CD662" si="125">VLOOKUP(C599,CE:CF,2,FALSE)</f>
        <v>#N/A</v>
      </c>
    </row>
    <row r="600" spans="1:82" ht="61.5" x14ac:dyDescent="0.85">
      <c r="A600" s="20">
        <v>1</v>
      </c>
      <c r="B600" s="66">
        <f>SUBTOTAL(103,$A$554:A600)</f>
        <v>47</v>
      </c>
      <c r="C600" s="24" t="s">
        <v>576</v>
      </c>
      <c r="D600" s="31">
        <f t="shared" si="121"/>
        <v>1265842.2</v>
      </c>
      <c r="E600" s="31">
        <v>0</v>
      </c>
      <c r="F600" s="31">
        <v>0</v>
      </c>
      <c r="G600" s="31">
        <v>0</v>
      </c>
      <c r="H600" s="31">
        <v>0</v>
      </c>
      <c r="I600" s="31">
        <v>0</v>
      </c>
      <c r="J600" s="31">
        <v>0</v>
      </c>
      <c r="K600" s="33">
        <v>0</v>
      </c>
      <c r="L600" s="31">
        <v>0</v>
      </c>
      <c r="M600" s="31">
        <v>287</v>
      </c>
      <c r="N600" s="31">
        <v>1148613</v>
      </c>
      <c r="O600" s="31">
        <v>0</v>
      </c>
      <c r="P600" s="31">
        <v>0</v>
      </c>
      <c r="Q600" s="31">
        <v>0</v>
      </c>
      <c r="R600" s="31">
        <v>0</v>
      </c>
      <c r="S600" s="31">
        <v>0</v>
      </c>
      <c r="T600" s="31">
        <v>0</v>
      </c>
      <c r="U600" s="31">
        <v>0</v>
      </c>
      <c r="V600" s="31">
        <v>0</v>
      </c>
      <c r="W600" s="31">
        <v>0</v>
      </c>
      <c r="X600" s="31">
        <v>0</v>
      </c>
      <c r="Y600" s="31">
        <v>0</v>
      </c>
      <c r="Z600" s="31">
        <v>0</v>
      </c>
      <c r="AA600" s="31">
        <v>0</v>
      </c>
      <c r="AB600" s="31">
        <v>0</v>
      </c>
      <c r="AC600" s="31">
        <v>17229.2</v>
      </c>
      <c r="AD600" s="31">
        <v>100000</v>
      </c>
      <c r="AE600" s="31">
        <v>0</v>
      </c>
      <c r="AF600" s="34">
        <v>2021</v>
      </c>
      <c r="AG600" s="34">
        <v>2021</v>
      </c>
      <c r="AH600" s="35">
        <v>2021</v>
      </c>
      <c r="AT600" s="20" t="e">
        <f>VLOOKUP(C600,AW:AX,2,FALSE)</f>
        <v>#N/A</v>
      </c>
      <c r="BZ600" s="71"/>
      <c r="CD600" s="20" t="e">
        <f t="shared" si="125"/>
        <v>#N/A</v>
      </c>
    </row>
    <row r="601" spans="1:82" ht="61.5" x14ac:dyDescent="0.85">
      <c r="A601" s="20">
        <v>1</v>
      </c>
      <c r="B601" s="66">
        <f>SUBTOTAL(103,$A$554:A601)</f>
        <v>48</v>
      </c>
      <c r="C601" s="24" t="s">
        <v>577</v>
      </c>
      <c r="D601" s="31">
        <f t="shared" si="121"/>
        <v>3576070.0900000003</v>
      </c>
      <c r="E601" s="31">
        <v>0</v>
      </c>
      <c r="F601" s="31">
        <v>0</v>
      </c>
      <c r="G601" s="31">
        <v>0</v>
      </c>
      <c r="H601" s="31">
        <v>0</v>
      </c>
      <c r="I601" s="31">
        <v>0</v>
      </c>
      <c r="J601" s="31">
        <v>0</v>
      </c>
      <c r="K601" s="33">
        <v>0</v>
      </c>
      <c r="L601" s="31">
        <v>0</v>
      </c>
      <c r="M601" s="31">
        <v>722</v>
      </c>
      <c r="N601" s="31">
        <v>3424699.6</v>
      </c>
      <c r="O601" s="31">
        <v>0</v>
      </c>
      <c r="P601" s="31">
        <v>0</v>
      </c>
      <c r="Q601" s="31">
        <v>0</v>
      </c>
      <c r="R601" s="31">
        <v>0</v>
      </c>
      <c r="S601" s="31">
        <v>0</v>
      </c>
      <c r="T601" s="31">
        <v>0</v>
      </c>
      <c r="U601" s="31">
        <v>0</v>
      </c>
      <c r="V601" s="31">
        <v>0</v>
      </c>
      <c r="W601" s="31">
        <v>0</v>
      </c>
      <c r="X601" s="31">
        <v>0</v>
      </c>
      <c r="Y601" s="31">
        <v>0</v>
      </c>
      <c r="Z601" s="31">
        <v>0</v>
      </c>
      <c r="AA601" s="31">
        <v>0</v>
      </c>
      <c r="AB601" s="31">
        <v>0</v>
      </c>
      <c r="AC601" s="31">
        <v>51370.49</v>
      </c>
      <c r="AD601" s="31">
        <v>100000</v>
      </c>
      <c r="AE601" s="31">
        <v>0</v>
      </c>
      <c r="AF601" s="34">
        <v>2021</v>
      </c>
      <c r="AG601" s="34">
        <v>2021</v>
      </c>
      <c r="AH601" s="35">
        <v>2021</v>
      </c>
      <c r="AT601" s="20" t="e">
        <f>VLOOKUP(C601,AW:AX,2,FALSE)</f>
        <v>#N/A</v>
      </c>
      <c r="BZ601" s="71"/>
      <c r="CD601" s="20" t="e">
        <f t="shared" si="125"/>
        <v>#N/A</v>
      </c>
    </row>
    <row r="602" spans="1:82" ht="61.5" x14ac:dyDescent="0.85">
      <c r="A602" s="20">
        <v>1</v>
      </c>
      <c r="B602" s="66">
        <f>SUBTOTAL(103,$A$554:A602)</f>
        <v>49</v>
      </c>
      <c r="C602" s="24" t="s">
        <v>578</v>
      </c>
      <c r="D602" s="31">
        <f t="shared" si="121"/>
        <v>8216874.9699999997</v>
      </c>
      <c r="E602" s="31">
        <v>0</v>
      </c>
      <c r="F602" s="31">
        <v>0</v>
      </c>
      <c r="G602" s="31">
        <v>0</v>
      </c>
      <c r="H602" s="31">
        <v>0</v>
      </c>
      <c r="I602" s="31">
        <v>0</v>
      </c>
      <c r="J602" s="31">
        <v>0</v>
      </c>
      <c r="K602" s="33">
        <v>0</v>
      </c>
      <c r="L602" s="31">
        <v>0</v>
      </c>
      <c r="M602" s="31">
        <v>1688</v>
      </c>
      <c r="N602" s="31">
        <v>8006773.3700000001</v>
      </c>
      <c r="O602" s="31">
        <v>0</v>
      </c>
      <c r="P602" s="31">
        <v>0</v>
      </c>
      <c r="Q602" s="31">
        <v>0</v>
      </c>
      <c r="R602" s="31">
        <v>0</v>
      </c>
      <c r="S602" s="31">
        <v>0</v>
      </c>
      <c r="T602" s="31">
        <v>0</v>
      </c>
      <c r="U602" s="31">
        <v>0</v>
      </c>
      <c r="V602" s="31">
        <v>0</v>
      </c>
      <c r="W602" s="31">
        <v>0</v>
      </c>
      <c r="X602" s="31">
        <v>0</v>
      </c>
      <c r="Y602" s="31">
        <v>0</v>
      </c>
      <c r="Z602" s="31">
        <v>0</v>
      </c>
      <c r="AA602" s="31">
        <v>0</v>
      </c>
      <c r="AB602" s="31">
        <v>0</v>
      </c>
      <c r="AC602" s="31">
        <v>120101.6</v>
      </c>
      <c r="AD602" s="31">
        <v>90000</v>
      </c>
      <c r="AE602" s="31">
        <v>0</v>
      </c>
      <c r="AF602" s="34">
        <v>2021</v>
      </c>
      <c r="AG602" s="34">
        <v>2021</v>
      </c>
      <c r="AH602" s="35">
        <v>2021</v>
      </c>
      <c r="AT602" s="20" t="e">
        <f>VLOOKUP(C602,AW:AX,2,FALSE)</f>
        <v>#N/A</v>
      </c>
      <c r="BZ602" s="71"/>
      <c r="CD602" s="20" t="e">
        <f t="shared" si="125"/>
        <v>#N/A</v>
      </c>
    </row>
    <row r="603" spans="1:82" ht="61.5" x14ac:dyDescent="0.85">
      <c r="A603" s="20">
        <v>1</v>
      </c>
      <c r="B603" s="66">
        <f>SUBTOTAL(103,$A$554:A603)</f>
        <v>50</v>
      </c>
      <c r="C603" s="24" t="s">
        <v>579</v>
      </c>
      <c r="D603" s="31">
        <f t="shared" si="121"/>
        <v>5458332.7699999996</v>
      </c>
      <c r="E603" s="31">
        <v>0</v>
      </c>
      <c r="F603" s="31">
        <v>0</v>
      </c>
      <c r="G603" s="31">
        <v>0</v>
      </c>
      <c r="H603" s="31">
        <v>0</v>
      </c>
      <c r="I603" s="31">
        <v>0</v>
      </c>
      <c r="J603" s="31">
        <v>0</v>
      </c>
      <c r="K603" s="33">
        <v>0</v>
      </c>
      <c r="L603" s="31">
        <v>0</v>
      </c>
      <c r="M603" s="31">
        <v>1130</v>
      </c>
      <c r="N603" s="31">
        <v>5288997.8</v>
      </c>
      <c r="O603" s="31">
        <v>0</v>
      </c>
      <c r="P603" s="31">
        <v>0</v>
      </c>
      <c r="Q603" s="31">
        <v>0</v>
      </c>
      <c r="R603" s="31">
        <v>0</v>
      </c>
      <c r="S603" s="31">
        <v>0</v>
      </c>
      <c r="T603" s="31">
        <v>0</v>
      </c>
      <c r="U603" s="31">
        <v>0</v>
      </c>
      <c r="V603" s="31">
        <v>0</v>
      </c>
      <c r="W603" s="31">
        <v>0</v>
      </c>
      <c r="X603" s="31">
        <v>0</v>
      </c>
      <c r="Y603" s="31">
        <v>0</v>
      </c>
      <c r="Z603" s="31">
        <v>0</v>
      </c>
      <c r="AA603" s="31">
        <v>0</v>
      </c>
      <c r="AB603" s="31">
        <v>0</v>
      </c>
      <c r="AC603" s="31">
        <v>79334.97</v>
      </c>
      <c r="AD603" s="31">
        <v>90000</v>
      </c>
      <c r="AE603" s="31">
        <v>0</v>
      </c>
      <c r="AF603" s="34">
        <v>2021</v>
      </c>
      <c r="AG603" s="34">
        <v>2021</v>
      </c>
      <c r="AH603" s="35">
        <v>2021</v>
      </c>
      <c r="AT603" s="20" t="e">
        <f>VLOOKUP(C603,AW:AX,2,FALSE)</f>
        <v>#N/A</v>
      </c>
      <c r="BZ603" s="71"/>
      <c r="CD603" s="20" t="e">
        <f t="shared" si="125"/>
        <v>#N/A</v>
      </c>
    </row>
    <row r="604" spans="1:82" ht="61.5" x14ac:dyDescent="0.85">
      <c r="A604" s="20">
        <v>1</v>
      </c>
      <c r="B604" s="66">
        <f>SUBTOTAL(103,$A$554:A604)</f>
        <v>51</v>
      </c>
      <c r="C604" s="24" t="s">
        <v>1407</v>
      </c>
      <c r="D604" s="31">
        <f t="shared" si="121"/>
        <v>3614770.42</v>
      </c>
      <c r="E604" s="31">
        <v>0</v>
      </c>
      <c r="F604" s="31">
        <v>0</v>
      </c>
      <c r="G604" s="31">
        <v>0</v>
      </c>
      <c r="H604" s="31">
        <v>0</v>
      </c>
      <c r="I604" s="31">
        <v>0</v>
      </c>
      <c r="J604" s="31">
        <v>0</v>
      </c>
      <c r="K604" s="33">
        <v>0</v>
      </c>
      <c r="L604" s="31">
        <v>0</v>
      </c>
      <c r="M604" s="31">
        <v>756</v>
      </c>
      <c r="N604" s="31">
        <v>3462828</v>
      </c>
      <c r="O604" s="31">
        <v>0</v>
      </c>
      <c r="P604" s="31">
        <v>0</v>
      </c>
      <c r="Q604" s="31">
        <v>0</v>
      </c>
      <c r="R604" s="31">
        <v>0</v>
      </c>
      <c r="S604" s="31">
        <v>0</v>
      </c>
      <c r="T604" s="31">
        <v>0</v>
      </c>
      <c r="U604" s="31">
        <v>0</v>
      </c>
      <c r="V604" s="31">
        <v>0</v>
      </c>
      <c r="W604" s="31">
        <v>0</v>
      </c>
      <c r="X604" s="31">
        <v>0</v>
      </c>
      <c r="Y604" s="31">
        <v>0</v>
      </c>
      <c r="Z604" s="31">
        <v>0</v>
      </c>
      <c r="AA604" s="31">
        <v>0</v>
      </c>
      <c r="AB604" s="31">
        <v>0</v>
      </c>
      <c r="AC604" s="31">
        <v>51942.42</v>
      </c>
      <c r="AD604" s="31">
        <v>100000</v>
      </c>
      <c r="AE604" s="31">
        <v>0</v>
      </c>
      <c r="AF604" s="34">
        <v>2021</v>
      </c>
      <c r="AG604" s="34">
        <v>2021</v>
      </c>
      <c r="AH604" s="35">
        <v>2021</v>
      </c>
      <c r="BZ604" s="71"/>
      <c r="CD604" s="20" t="e">
        <f t="shared" si="125"/>
        <v>#N/A</v>
      </c>
    </row>
    <row r="605" spans="1:82" ht="61.5" x14ac:dyDescent="0.85">
      <c r="A605" s="20">
        <v>1</v>
      </c>
      <c r="B605" s="66">
        <f>SUBTOTAL(103,$A$554:A605)</f>
        <v>52</v>
      </c>
      <c r="C605" s="24" t="s">
        <v>1408</v>
      </c>
      <c r="D605" s="31">
        <f t="shared" si="121"/>
        <v>3214943.65</v>
      </c>
      <c r="E605" s="31">
        <v>0</v>
      </c>
      <c r="F605" s="31">
        <v>0</v>
      </c>
      <c r="G605" s="31">
        <v>0</v>
      </c>
      <c r="H605" s="31">
        <v>0</v>
      </c>
      <c r="I605" s="31">
        <v>0</v>
      </c>
      <c r="J605" s="31">
        <v>0</v>
      </c>
      <c r="K605" s="33">
        <v>0</v>
      </c>
      <c r="L605" s="31">
        <v>0</v>
      </c>
      <c r="M605" s="31">
        <v>670</v>
      </c>
      <c r="N605" s="31">
        <v>3068910</v>
      </c>
      <c r="O605" s="31">
        <v>0</v>
      </c>
      <c r="P605" s="31">
        <v>0</v>
      </c>
      <c r="Q605" s="31">
        <v>0</v>
      </c>
      <c r="R605" s="31">
        <v>0</v>
      </c>
      <c r="S605" s="31">
        <v>0</v>
      </c>
      <c r="T605" s="31">
        <v>0</v>
      </c>
      <c r="U605" s="31">
        <v>0</v>
      </c>
      <c r="V605" s="31">
        <v>0</v>
      </c>
      <c r="W605" s="31">
        <v>0</v>
      </c>
      <c r="X605" s="31">
        <v>0</v>
      </c>
      <c r="Y605" s="31">
        <v>0</v>
      </c>
      <c r="Z605" s="31">
        <v>0</v>
      </c>
      <c r="AA605" s="31">
        <v>0</v>
      </c>
      <c r="AB605" s="31">
        <v>0</v>
      </c>
      <c r="AC605" s="31">
        <v>46033.65</v>
      </c>
      <c r="AD605" s="31">
        <v>100000</v>
      </c>
      <c r="AE605" s="31">
        <v>0</v>
      </c>
      <c r="AF605" s="34">
        <v>2021</v>
      </c>
      <c r="AG605" s="34">
        <v>2021</v>
      </c>
      <c r="AH605" s="35">
        <v>2021</v>
      </c>
      <c r="BZ605" s="71"/>
      <c r="CD605" s="20" t="e">
        <f t="shared" si="125"/>
        <v>#N/A</v>
      </c>
    </row>
    <row r="606" spans="1:82" ht="61.5" x14ac:dyDescent="0.85">
      <c r="A606" s="20">
        <v>1</v>
      </c>
      <c r="B606" s="66">
        <f>SUBTOTAL(103,$A$554:A606)</f>
        <v>53</v>
      </c>
      <c r="C606" s="24" t="s">
        <v>1409</v>
      </c>
      <c r="D606" s="31">
        <f t="shared" si="121"/>
        <v>1335035.1000000001</v>
      </c>
      <c r="E606" s="31">
        <v>0</v>
      </c>
      <c r="F606" s="31">
        <v>0</v>
      </c>
      <c r="G606" s="31">
        <v>0</v>
      </c>
      <c r="H606" s="31">
        <v>0</v>
      </c>
      <c r="I606" s="31">
        <v>0</v>
      </c>
      <c r="J606" s="31">
        <v>0</v>
      </c>
      <c r="K606" s="33">
        <v>0</v>
      </c>
      <c r="L606" s="31">
        <v>0</v>
      </c>
      <c r="M606" s="31">
        <v>272.05</v>
      </c>
      <c r="N606" s="31">
        <v>1246340</v>
      </c>
      <c r="O606" s="31">
        <v>0</v>
      </c>
      <c r="P606" s="31">
        <v>0</v>
      </c>
      <c r="Q606" s="31">
        <v>0</v>
      </c>
      <c r="R606" s="31">
        <v>0</v>
      </c>
      <c r="S606" s="31">
        <v>0</v>
      </c>
      <c r="T606" s="31">
        <v>0</v>
      </c>
      <c r="U606" s="31">
        <v>0</v>
      </c>
      <c r="V606" s="31">
        <v>0</v>
      </c>
      <c r="W606" s="31">
        <v>0</v>
      </c>
      <c r="X606" s="31">
        <v>0</v>
      </c>
      <c r="Y606" s="31">
        <v>0</v>
      </c>
      <c r="Z606" s="31">
        <v>0</v>
      </c>
      <c r="AA606" s="31">
        <v>0</v>
      </c>
      <c r="AB606" s="31">
        <v>0</v>
      </c>
      <c r="AC606" s="31">
        <v>18695.099999999999</v>
      </c>
      <c r="AD606" s="31">
        <v>70000</v>
      </c>
      <c r="AE606" s="31">
        <v>0</v>
      </c>
      <c r="AF606" s="34">
        <v>2021</v>
      </c>
      <c r="AG606" s="34">
        <v>2021</v>
      </c>
      <c r="AH606" s="35">
        <v>2021</v>
      </c>
      <c r="BZ606" s="71"/>
      <c r="CD606" s="20" t="e">
        <f t="shared" si="125"/>
        <v>#N/A</v>
      </c>
    </row>
    <row r="607" spans="1:82" ht="61.5" x14ac:dyDescent="0.85">
      <c r="A607" s="20">
        <v>1</v>
      </c>
      <c r="B607" s="66">
        <f>SUBTOTAL(103,$A$554:A607)</f>
        <v>54</v>
      </c>
      <c r="C607" s="24" t="s">
        <v>1410</v>
      </c>
      <c r="D607" s="31">
        <f t="shared" si="121"/>
        <v>4219164.3499999996</v>
      </c>
      <c r="E607" s="31">
        <v>0</v>
      </c>
      <c r="F607" s="31">
        <v>0</v>
      </c>
      <c r="G607" s="31">
        <v>0</v>
      </c>
      <c r="H607" s="31">
        <v>0</v>
      </c>
      <c r="I607" s="31">
        <v>0</v>
      </c>
      <c r="J607" s="31">
        <v>0</v>
      </c>
      <c r="K607" s="33">
        <v>0</v>
      </c>
      <c r="L607" s="31">
        <v>0</v>
      </c>
      <c r="M607" s="31">
        <v>886</v>
      </c>
      <c r="N607" s="31">
        <v>4058290</v>
      </c>
      <c r="O607" s="31">
        <v>0</v>
      </c>
      <c r="P607" s="31">
        <v>0</v>
      </c>
      <c r="Q607" s="31">
        <v>0</v>
      </c>
      <c r="R607" s="31">
        <v>0</v>
      </c>
      <c r="S607" s="31">
        <v>0</v>
      </c>
      <c r="T607" s="31">
        <v>0</v>
      </c>
      <c r="U607" s="31">
        <v>0</v>
      </c>
      <c r="V607" s="31">
        <v>0</v>
      </c>
      <c r="W607" s="31">
        <v>0</v>
      </c>
      <c r="X607" s="31">
        <v>0</v>
      </c>
      <c r="Y607" s="31">
        <v>0</v>
      </c>
      <c r="Z607" s="31">
        <v>0</v>
      </c>
      <c r="AA607" s="31">
        <v>0</v>
      </c>
      <c r="AB607" s="31">
        <v>0</v>
      </c>
      <c r="AC607" s="31">
        <v>60874.35</v>
      </c>
      <c r="AD607" s="31">
        <v>100000</v>
      </c>
      <c r="AE607" s="31">
        <v>0</v>
      </c>
      <c r="AF607" s="34">
        <v>2021</v>
      </c>
      <c r="AG607" s="34">
        <v>2021</v>
      </c>
      <c r="AH607" s="35">
        <v>2021</v>
      </c>
      <c r="BZ607" s="71"/>
      <c r="CD607" s="20" t="e">
        <f t="shared" si="125"/>
        <v>#N/A</v>
      </c>
    </row>
    <row r="608" spans="1:82" ht="61.5" x14ac:dyDescent="0.85">
      <c r="A608" s="20">
        <v>1</v>
      </c>
      <c r="B608" s="66">
        <f>SUBTOTAL(103,$A$554:A608)</f>
        <v>55</v>
      </c>
      <c r="C608" s="24" t="s">
        <v>1411</v>
      </c>
      <c r="D608" s="31">
        <f t="shared" si="121"/>
        <v>3028742.06</v>
      </c>
      <c r="E608" s="31">
        <v>0</v>
      </c>
      <c r="F608" s="31">
        <v>0</v>
      </c>
      <c r="G608" s="31">
        <v>0</v>
      </c>
      <c r="H608" s="31">
        <v>0</v>
      </c>
      <c r="I608" s="31">
        <v>0</v>
      </c>
      <c r="J608" s="31">
        <v>0</v>
      </c>
      <c r="K608" s="33">
        <v>0</v>
      </c>
      <c r="L608" s="31">
        <v>0</v>
      </c>
      <c r="M608" s="31">
        <v>630</v>
      </c>
      <c r="N608" s="31">
        <v>2885460.19</v>
      </c>
      <c r="O608" s="31">
        <v>0</v>
      </c>
      <c r="P608" s="31">
        <v>0</v>
      </c>
      <c r="Q608" s="31">
        <v>0</v>
      </c>
      <c r="R608" s="31">
        <v>0</v>
      </c>
      <c r="S608" s="31">
        <v>0</v>
      </c>
      <c r="T608" s="31">
        <v>0</v>
      </c>
      <c r="U608" s="31">
        <v>0</v>
      </c>
      <c r="V608" s="31">
        <v>0</v>
      </c>
      <c r="W608" s="31">
        <v>0</v>
      </c>
      <c r="X608" s="31">
        <v>0</v>
      </c>
      <c r="Y608" s="31">
        <v>0</v>
      </c>
      <c r="Z608" s="31">
        <v>0</v>
      </c>
      <c r="AA608" s="31">
        <v>0</v>
      </c>
      <c r="AB608" s="31">
        <v>0</v>
      </c>
      <c r="AC608" s="31">
        <v>43281.87</v>
      </c>
      <c r="AD608" s="31">
        <v>100000</v>
      </c>
      <c r="AE608" s="31">
        <v>0</v>
      </c>
      <c r="AF608" s="34">
        <v>2021</v>
      </c>
      <c r="AG608" s="34">
        <v>2021</v>
      </c>
      <c r="AH608" s="35">
        <v>2021</v>
      </c>
      <c r="BZ608" s="71"/>
      <c r="CD608" s="20" t="e">
        <f t="shared" si="125"/>
        <v>#N/A</v>
      </c>
    </row>
    <row r="609" spans="1:82" ht="61.5" x14ac:dyDescent="0.85">
      <c r="A609" s="20">
        <v>1</v>
      </c>
      <c r="B609" s="66">
        <f>SUBTOTAL(103,$A$554:A609)</f>
        <v>56</v>
      </c>
      <c r="C609" s="24" t="s">
        <v>496</v>
      </c>
      <c r="D609" s="31">
        <f t="shared" si="121"/>
        <v>3923557.16</v>
      </c>
      <c r="E609" s="31">
        <v>0</v>
      </c>
      <c r="F609" s="31">
        <v>0</v>
      </c>
      <c r="G609" s="31">
        <v>0</v>
      </c>
      <c r="H609" s="31">
        <v>0</v>
      </c>
      <c r="I609" s="31">
        <v>0</v>
      </c>
      <c r="J609" s="31">
        <v>0</v>
      </c>
      <c r="K609" s="33">
        <v>0</v>
      </c>
      <c r="L609" s="31">
        <v>0</v>
      </c>
      <c r="M609" s="31">
        <v>1089.5999999999999</v>
      </c>
      <c r="N609" s="31">
        <v>3767051.39</v>
      </c>
      <c r="O609" s="31">
        <v>0</v>
      </c>
      <c r="P609" s="31">
        <v>0</v>
      </c>
      <c r="Q609" s="31">
        <v>0</v>
      </c>
      <c r="R609" s="31">
        <v>0</v>
      </c>
      <c r="S609" s="31">
        <v>0</v>
      </c>
      <c r="T609" s="31">
        <v>0</v>
      </c>
      <c r="U609" s="31">
        <v>0</v>
      </c>
      <c r="V609" s="31">
        <v>0</v>
      </c>
      <c r="W609" s="31">
        <v>0</v>
      </c>
      <c r="X609" s="31">
        <v>0</v>
      </c>
      <c r="Y609" s="31">
        <v>0</v>
      </c>
      <c r="Z609" s="31">
        <v>0</v>
      </c>
      <c r="AA609" s="31">
        <v>0</v>
      </c>
      <c r="AB609" s="31">
        <v>0</v>
      </c>
      <c r="AC609" s="31">
        <v>56505.77</v>
      </c>
      <c r="AD609" s="31">
        <v>100000</v>
      </c>
      <c r="AE609" s="31">
        <v>0</v>
      </c>
      <c r="AF609" s="34">
        <v>2021</v>
      </c>
      <c r="AG609" s="34">
        <v>2021</v>
      </c>
      <c r="AH609" s="35">
        <v>2021</v>
      </c>
      <c r="BZ609" s="71"/>
      <c r="CD609" s="20" t="e">
        <f t="shared" si="125"/>
        <v>#N/A</v>
      </c>
    </row>
    <row r="610" spans="1:82" ht="61.5" x14ac:dyDescent="0.85">
      <c r="A610" s="20">
        <v>1</v>
      </c>
      <c r="B610" s="66">
        <f>SUBTOTAL(103,$A$554:A610)</f>
        <v>57</v>
      </c>
      <c r="C610" s="24" t="s">
        <v>510</v>
      </c>
      <c r="D610" s="31">
        <f t="shared" si="121"/>
        <v>6662526.4900000002</v>
      </c>
      <c r="E610" s="31">
        <v>0</v>
      </c>
      <c r="F610" s="31">
        <v>0</v>
      </c>
      <c r="G610" s="31">
        <v>0</v>
      </c>
      <c r="H610" s="31">
        <v>0</v>
      </c>
      <c r="I610" s="31">
        <v>0</v>
      </c>
      <c r="J610" s="31">
        <v>0</v>
      </c>
      <c r="K610" s="33">
        <v>0</v>
      </c>
      <c r="L610" s="31">
        <v>0</v>
      </c>
      <c r="M610" s="31">
        <v>0</v>
      </c>
      <c r="N610" s="31">
        <v>0</v>
      </c>
      <c r="O610" s="31">
        <v>0</v>
      </c>
      <c r="P610" s="31">
        <v>0</v>
      </c>
      <c r="Q610" s="31">
        <v>2002</v>
      </c>
      <c r="R610" s="31">
        <v>6445838.9100000001</v>
      </c>
      <c r="S610" s="31">
        <v>0</v>
      </c>
      <c r="T610" s="31">
        <v>0</v>
      </c>
      <c r="U610" s="31">
        <v>0</v>
      </c>
      <c r="V610" s="31">
        <v>0</v>
      </c>
      <c r="W610" s="31">
        <v>0</v>
      </c>
      <c r="X610" s="31">
        <v>0</v>
      </c>
      <c r="Y610" s="31">
        <v>0</v>
      </c>
      <c r="Z610" s="31">
        <v>0</v>
      </c>
      <c r="AA610" s="31">
        <v>0</v>
      </c>
      <c r="AB610" s="31">
        <v>0</v>
      </c>
      <c r="AC610" s="31">
        <v>96687.58</v>
      </c>
      <c r="AD610" s="31">
        <v>120000</v>
      </c>
      <c r="AE610" s="31">
        <v>0</v>
      </c>
      <c r="AF610" s="34">
        <v>2021</v>
      </c>
      <c r="AG610" s="34">
        <v>2021</v>
      </c>
      <c r="AH610" s="35">
        <v>2021</v>
      </c>
      <c r="BZ610" s="71"/>
      <c r="CD610" s="20" t="e">
        <f t="shared" si="125"/>
        <v>#N/A</v>
      </c>
    </row>
    <row r="611" spans="1:82" ht="61.5" x14ac:dyDescent="0.85">
      <c r="A611" s="20">
        <v>1</v>
      </c>
      <c r="B611" s="66">
        <f>SUBTOTAL(103,$A$554:A611)</f>
        <v>58</v>
      </c>
      <c r="C611" s="24" t="s">
        <v>1095</v>
      </c>
      <c r="D611" s="31">
        <f t="shared" si="121"/>
        <v>3068875</v>
      </c>
      <c r="E611" s="31">
        <v>0</v>
      </c>
      <c r="F611" s="31">
        <v>0</v>
      </c>
      <c r="G611" s="31">
        <v>0</v>
      </c>
      <c r="H611" s="31">
        <v>0</v>
      </c>
      <c r="I611" s="31">
        <v>0</v>
      </c>
      <c r="J611" s="31">
        <v>0</v>
      </c>
      <c r="K611" s="33">
        <v>0</v>
      </c>
      <c r="L611" s="31">
        <v>0</v>
      </c>
      <c r="M611" s="31">
        <v>0</v>
      </c>
      <c r="N611" s="31">
        <v>0</v>
      </c>
      <c r="O611" s="31">
        <v>0</v>
      </c>
      <c r="P611" s="31">
        <v>0</v>
      </c>
      <c r="Q611" s="31">
        <v>860</v>
      </c>
      <c r="R611" s="31">
        <v>2925000</v>
      </c>
      <c r="S611" s="31">
        <v>0</v>
      </c>
      <c r="T611" s="31">
        <v>0</v>
      </c>
      <c r="U611" s="31">
        <v>0</v>
      </c>
      <c r="V611" s="31">
        <v>0</v>
      </c>
      <c r="W611" s="31">
        <v>0</v>
      </c>
      <c r="X611" s="31">
        <v>0</v>
      </c>
      <c r="Y611" s="31">
        <v>0</v>
      </c>
      <c r="Z611" s="31">
        <v>0</v>
      </c>
      <c r="AA611" s="31">
        <v>0</v>
      </c>
      <c r="AB611" s="31">
        <v>0</v>
      </c>
      <c r="AC611" s="31">
        <v>43875</v>
      </c>
      <c r="AD611" s="31">
        <v>100000</v>
      </c>
      <c r="AE611" s="31">
        <v>0</v>
      </c>
      <c r="AF611" s="34">
        <v>2021</v>
      </c>
      <c r="AG611" s="34">
        <v>2021</v>
      </c>
      <c r="AH611" s="35">
        <v>2021</v>
      </c>
      <c r="BZ611" s="71"/>
      <c r="CD611" s="20" t="e">
        <f t="shared" si="125"/>
        <v>#N/A</v>
      </c>
    </row>
    <row r="612" spans="1:82" ht="61.5" x14ac:dyDescent="0.85">
      <c r="A612" s="20">
        <v>1</v>
      </c>
      <c r="B612" s="66">
        <f>SUBTOTAL(103,$A$554:A612)</f>
        <v>59</v>
      </c>
      <c r="C612" s="24" t="s">
        <v>1430</v>
      </c>
      <c r="D612" s="31">
        <f t="shared" si="121"/>
        <v>3884747.5999999996</v>
      </c>
      <c r="E612" s="31">
        <v>0</v>
      </c>
      <c r="F612" s="31">
        <v>0</v>
      </c>
      <c r="G612" s="31">
        <v>0</v>
      </c>
      <c r="H612" s="31">
        <v>0</v>
      </c>
      <c r="I612" s="31">
        <v>0</v>
      </c>
      <c r="J612" s="31">
        <v>0</v>
      </c>
      <c r="K612" s="33">
        <v>0</v>
      </c>
      <c r="L612" s="31">
        <v>0</v>
      </c>
      <c r="M612" s="31">
        <v>831.1</v>
      </c>
      <c r="N612" s="31">
        <v>3738667.59</v>
      </c>
      <c r="O612" s="31">
        <v>0</v>
      </c>
      <c r="P612" s="31">
        <v>0</v>
      </c>
      <c r="Q612" s="31">
        <v>0</v>
      </c>
      <c r="R612" s="31">
        <v>0</v>
      </c>
      <c r="S612" s="31">
        <v>0</v>
      </c>
      <c r="T612" s="31">
        <v>0</v>
      </c>
      <c r="U612" s="31">
        <v>0</v>
      </c>
      <c r="V612" s="31">
        <v>0</v>
      </c>
      <c r="W612" s="31">
        <v>0</v>
      </c>
      <c r="X612" s="31">
        <v>0</v>
      </c>
      <c r="Y612" s="31">
        <v>0</v>
      </c>
      <c r="Z612" s="31">
        <v>0</v>
      </c>
      <c r="AA612" s="31">
        <v>0</v>
      </c>
      <c r="AB612" s="31">
        <v>0</v>
      </c>
      <c r="AC612" s="31">
        <v>56080.01</v>
      </c>
      <c r="AD612" s="31">
        <v>90000</v>
      </c>
      <c r="AE612" s="31">
        <v>0</v>
      </c>
      <c r="AF612" s="34">
        <v>2021</v>
      </c>
      <c r="AG612" s="34">
        <v>2021</v>
      </c>
      <c r="AH612" s="35">
        <v>2021</v>
      </c>
      <c r="BZ612" s="71"/>
      <c r="CD612" s="20" t="e">
        <f t="shared" si="125"/>
        <v>#N/A</v>
      </c>
    </row>
    <row r="613" spans="1:82" ht="61.5" x14ac:dyDescent="0.85">
      <c r="A613" s="20">
        <v>1</v>
      </c>
      <c r="B613" s="66">
        <f>SUBTOTAL(103,$A$554:A613)</f>
        <v>60</v>
      </c>
      <c r="C613" s="24" t="s">
        <v>1403</v>
      </c>
      <c r="D613" s="31">
        <f t="shared" si="121"/>
        <v>2248303</v>
      </c>
      <c r="E613" s="31">
        <v>0</v>
      </c>
      <c r="F613" s="31">
        <v>0</v>
      </c>
      <c r="G613" s="31">
        <v>0</v>
      </c>
      <c r="H613" s="31">
        <v>0</v>
      </c>
      <c r="I613" s="31">
        <v>0</v>
      </c>
      <c r="J613" s="31">
        <v>0</v>
      </c>
      <c r="K613" s="33">
        <v>0</v>
      </c>
      <c r="L613" s="31">
        <v>0</v>
      </c>
      <c r="M613" s="31">
        <v>0</v>
      </c>
      <c r="N613" s="31">
        <v>0</v>
      </c>
      <c r="O613" s="31">
        <v>0</v>
      </c>
      <c r="P613" s="31">
        <v>0</v>
      </c>
      <c r="Q613" s="31">
        <v>554</v>
      </c>
      <c r="R613" s="31">
        <v>2146111.33</v>
      </c>
      <c r="S613" s="31">
        <v>0</v>
      </c>
      <c r="T613" s="31">
        <v>0</v>
      </c>
      <c r="U613" s="31">
        <v>0</v>
      </c>
      <c r="V613" s="31">
        <v>0</v>
      </c>
      <c r="W613" s="31">
        <v>0</v>
      </c>
      <c r="X613" s="31">
        <v>0</v>
      </c>
      <c r="Y613" s="31">
        <v>0</v>
      </c>
      <c r="Z613" s="31">
        <v>0</v>
      </c>
      <c r="AA613" s="31">
        <v>0</v>
      </c>
      <c r="AB613" s="31">
        <v>0</v>
      </c>
      <c r="AC613" s="31">
        <v>32191.67</v>
      </c>
      <c r="AD613" s="31">
        <v>70000</v>
      </c>
      <c r="AE613" s="31">
        <v>0</v>
      </c>
      <c r="AF613" s="34">
        <v>2021</v>
      </c>
      <c r="AG613" s="34">
        <v>2021</v>
      </c>
      <c r="AH613" s="35">
        <v>2021</v>
      </c>
      <c r="BZ613" s="71"/>
      <c r="CD613" s="20" t="e">
        <f t="shared" si="125"/>
        <v>#N/A</v>
      </c>
    </row>
    <row r="614" spans="1:82" ht="61.5" x14ac:dyDescent="0.85">
      <c r="A614" s="20">
        <v>1</v>
      </c>
      <c r="B614" s="66">
        <f>SUBTOTAL(103,$A$554:A614)</f>
        <v>61</v>
      </c>
      <c r="C614" s="24" t="s">
        <v>1134</v>
      </c>
      <c r="D614" s="31">
        <f t="shared" si="121"/>
        <v>2785299.21</v>
      </c>
      <c r="E614" s="31">
        <v>0</v>
      </c>
      <c r="F614" s="31">
        <v>0</v>
      </c>
      <c r="G614" s="31">
        <v>0</v>
      </c>
      <c r="H614" s="31">
        <v>0</v>
      </c>
      <c r="I614" s="31">
        <v>0</v>
      </c>
      <c r="J614" s="31">
        <v>0</v>
      </c>
      <c r="K614" s="33">
        <v>0</v>
      </c>
      <c r="L614" s="31">
        <v>0</v>
      </c>
      <c r="M614" s="31">
        <v>0</v>
      </c>
      <c r="N614" s="31">
        <v>0</v>
      </c>
      <c r="O614" s="31">
        <v>0</v>
      </c>
      <c r="P614" s="31">
        <v>0</v>
      </c>
      <c r="Q614" s="31">
        <v>1524.32</v>
      </c>
      <c r="R614" s="31">
        <v>2744339.94</v>
      </c>
      <c r="S614" s="31">
        <v>0</v>
      </c>
      <c r="T614" s="31">
        <v>0</v>
      </c>
      <c r="U614" s="31">
        <v>0</v>
      </c>
      <c r="V614" s="31">
        <v>0</v>
      </c>
      <c r="W614" s="31">
        <v>0</v>
      </c>
      <c r="X614" s="31">
        <v>0</v>
      </c>
      <c r="Y614" s="31">
        <v>0</v>
      </c>
      <c r="Z614" s="31">
        <v>0</v>
      </c>
      <c r="AA614" s="31">
        <v>0</v>
      </c>
      <c r="AB614" s="31">
        <v>0</v>
      </c>
      <c r="AC614" s="31">
        <v>40959.269999999997</v>
      </c>
      <c r="AD614" s="31">
        <v>0</v>
      </c>
      <c r="AE614" s="31">
        <v>0</v>
      </c>
      <c r="AF614" s="34" t="s">
        <v>274</v>
      </c>
      <c r="AG614" s="34">
        <v>2021</v>
      </c>
      <c r="AH614" s="35">
        <v>2021</v>
      </c>
      <c r="BZ614" s="71"/>
      <c r="CD614" s="20" t="e">
        <f t="shared" si="125"/>
        <v>#N/A</v>
      </c>
    </row>
    <row r="615" spans="1:82" ht="61.5" x14ac:dyDescent="0.85">
      <c r="A615" s="20">
        <v>1</v>
      </c>
      <c r="B615" s="66">
        <f>SUBTOTAL(103,$A$554:A615)</f>
        <v>62</v>
      </c>
      <c r="C615" s="24" t="s">
        <v>1144</v>
      </c>
      <c r="D615" s="31">
        <f t="shared" si="121"/>
        <v>1338055.4100000001</v>
      </c>
      <c r="E615" s="31">
        <v>0</v>
      </c>
      <c r="F615" s="31">
        <v>0</v>
      </c>
      <c r="G615" s="31">
        <v>0</v>
      </c>
      <c r="H615" s="31">
        <v>0</v>
      </c>
      <c r="I615" s="31">
        <v>0</v>
      </c>
      <c r="J615" s="31">
        <v>0</v>
      </c>
      <c r="K615" s="33">
        <v>0</v>
      </c>
      <c r="L615" s="31">
        <v>0</v>
      </c>
      <c r="M615" s="31">
        <v>0</v>
      </c>
      <c r="N615" s="31">
        <v>0</v>
      </c>
      <c r="O615" s="31">
        <v>278</v>
      </c>
      <c r="P615" s="31">
        <v>1318378.6100000001</v>
      </c>
      <c r="Q615" s="31">
        <v>0</v>
      </c>
      <c r="R615" s="31">
        <v>0</v>
      </c>
      <c r="S615" s="31">
        <v>0</v>
      </c>
      <c r="T615" s="31">
        <v>0</v>
      </c>
      <c r="U615" s="31">
        <v>0</v>
      </c>
      <c r="V615" s="31">
        <v>0</v>
      </c>
      <c r="W615" s="31">
        <v>0</v>
      </c>
      <c r="X615" s="31">
        <v>0</v>
      </c>
      <c r="Y615" s="31">
        <v>0</v>
      </c>
      <c r="Z615" s="31">
        <v>0</v>
      </c>
      <c r="AA615" s="31">
        <v>0</v>
      </c>
      <c r="AB615" s="31">
        <v>0</v>
      </c>
      <c r="AC615" s="31">
        <v>19676.8</v>
      </c>
      <c r="AD615" s="31">
        <v>0</v>
      </c>
      <c r="AE615" s="31">
        <v>0</v>
      </c>
      <c r="AF615" s="34" t="s">
        <v>274</v>
      </c>
      <c r="AG615" s="34">
        <v>2021</v>
      </c>
      <c r="AH615" s="35">
        <v>2021</v>
      </c>
      <c r="BZ615" s="71"/>
      <c r="CD615" s="20" t="e">
        <f t="shared" si="125"/>
        <v>#N/A</v>
      </c>
    </row>
    <row r="616" spans="1:82" ht="61.5" x14ac:dyDescent="0.85">
      <c r="A616" s="20">
        <v>1</v>
      </c>
      <c r="B616" s="66">
        <f>SUBTOTAL(103,$A$554:A616)</f>
        <v>63</v>
      </c>
      <c r="C616" s="24" t="s">
        <v>1145</v>
      </c>
      <c r="D616" s="31">
        <f t="shared" si="121"/>
        <v>221655.15999999997</v>
      </c>
      <c r="E616" s="31">
        <v>102509.44</v>
      </c>
      <c r="F616" s="31">
        <v>0</v>
      </c>
      <c r="G616" s="31">
        <v>0</v>
      </c>
      <c r="H616" s="31">
        <v>115886.17</v>
      </c>
      <c r="I616" s="31">
        <v>0</v>
      </c>
      <c r="J616" s="31">
        <v>0</v>
      </c>
      <c r="K616" s="33">
        <v>0</v>
      </c>
      <c r="L616" s="31">
        <v>0</v>
      </c>
      <c r="M616" s="31">
        <v>0</v>
      </c>
      <c r="N616" s="31">
        <v>0</v>
      </c>
      <c r="O616" s="31">
        <v>0</v>
      </c>
      <c r="P616" s="31">
        <v>0</v>
      </c>
      <c r="Q616" s="31">
        <v>0</v>
      </c>
      <c r="R616" s="31">
        <v>0</v>
      </c>
      <c r="S616" s="31">
        <v>0</v>
      </c>
      <c r="T616" s="31">
        <v>0</v>
      </c>
      <c r="U616" s="31">
        <v>0</v>
      </c>
      <c r="V616" s="31">
        <v>0</v>
      </c>
      <c r="W616" s="31">
        <v>0</v>
      </c>
      <c r="X616" s="31">
        <v>0</v>
      </c>
      <c r="Y616" s="31">
        <v>0</v>
      </c>
      <c r="Z616" s="31">
        <v>0</v>
      </c>
      <c r="AA616" s="31">
        <v>0</v>
      </c>
      <c r="AB616" s="31">
        <v>0</v>
      </c>
      <c r="AC616" s="31">
        <v>3259.55</v>
      </c>
      <c r="AD616" s="31">
        <v>0</v>
      </c>
      <c r="AE616" s="31">
        <v>0</v>
      </c>
      <c r="AF616" s="34" t="s">
        <v>274</v>
      </c>
      <c r="AG616" s="34">
        <v>2021</v>
      </c>
      <c r="AH616" s="35">
        <v>2021</v>
      </c>
      <c r="BZ616" s="71"/>
      <c r="CD616" s="20" t="e">
        <f t="shared" si="125"/>
        <v>#N/A</v>
      </c>
    </row>
    <row r="617" spans="1:82" ht="61.5" x14ac:dyDescent="0.85">
      <c r="A617" s="20">
        <v>1</v>
      </c>
      <c r="B617" s="66">
        <f>SUBTOTAL(103,$A$554:A617)</f>
        <v>64</v>
      </c>
      <c r="C617" s="24" t="s">
        <v>1147</v>
      </c>
      <c r="D617" s="31">
        <f t="shared" si="121"/>
        <v>2696648.14</v>
      </c>
      <c r="E617" s="31">
        <v>0</v>
      </c>
      <c r="F617" s="31">
        <v>0</v>
      </c>
      <c r="G617" s="31">
        <v>0</v>
      </c>
      <c r="H617" s="31">
        <v>0</v>
      </c>
      <c r="I617" s="31">
        <v>0</v>
      </c>
      <c r="J617" s="31">
        <v>0</v>
      </c>
      <c r="K617" s="33">
        <v>0</v>
      </c>
      <c r="L617" s="31">
        <v>0</v>
      </c>
      <c r="M617" s="31">
        <v>453.4</v>
      </c>
      <c r="N617" s="31">
        <v>2656796.2000000002</v>
      </c>
      <c r="O617" s="31">
        <v>0</v>
      </c>
      <c r="P617" s="31">
        <v>0</v>
      </c>
      <c r="Q617" s="31">
        <v>0</v>
      </c>
      <c r="R617" s="31">
        <v>0</v>
      </c>
      <c r="S617" s="31">
        <v>0</v>
      </c>
      <c r="T617" s="31">
        <v>0</v>
      </c>
      <c r="U617" s="31">
        <v>0</v>
      </c>
      <c r="V617" s="31">
        <v>0</v>
      </c>
      <c r="W617" s="31">
        <v>0</v>
      </c>
      <c r="X617" s="31">
        <v>0</v>
      </c>
      <c r="Y617" s="31">
        <v>0</v>
      </c>
      <c r="Z617" s="31">
        <v>0</v>
      </c>
      <c r="AA617" s="31">
        <v>0</v>
      </c>
      <c r="AB617" s="31">
        <v>0</v>
      </c>
      <c r="AC617" s="31">
        <v>39851.94</v>
      </c>
      <c r="AD617" s="31">
        <v>0</v>
      </c>
      <c r="AE617" s="31">
        <v>0</v>
      </c>
      <c r="AF617" s="34" t="s">
        <v>274</v>
      </c>
      <c r="AG617" s="34">
        <v>2021</v>
      </c>
      <c r="AH617" s="35">
        <v>2021</v>
      </c>
      <c r="BZ617" s="71"/>
      <c r="CD617" s="20">
        <f t="shared" si="125"/>
        <v>453.4</v>
      </c>
    </row>
    <row r="618" spans="1:82" ht="61.5" x14ac:dyDescent="0.85">
      <c r="A618" s="20">
        <v>1</v>
      </c>
      <c r="B618" s="66">
        <f>SUBTOTAL(103,$A$554:A618)</f>
        <v>65</v>
      </c>
      <c r="C618" s="24" t="s">
        <v>1148</v>
      </c>
      <c r="D618" s="31">
        <f t="shared" si="121"/>
        <v>1772415.75</v>
      </c>
      <c r="E618" s="31">
        <v>0</v>
      </c>
      <c r="F618" s="31">
        <v>0</v>
      </c>
      <c r="G618" s="31">
        <v>0</v>
      </c>
      <c r="H618" s="31">
        <v>0</v>
      </c>
      <c r="I618" s="31">
        <v>0</v>
      </c>
      <c r="J618" s="31">
        <v>0</v>
      </c>
      <c r="K618" s="33">
        <v>0</v>
      </c>
      <c r="L618" s="31">
        <v>0</v>
      </c>
      <c r="M618" s="31">
        <v>523.98</v>
      </c>
      <c r="N618" s="31">
        <v>1746351.45</v>
      </c>
      <c r="O618" s="31">
        <v>0</v>
      </c>
      <c r="P618" s="31">
        <v>0</v>
      </c>
      <c r="Q618" s="31">
        <v>0</v>
      </c>
      <c r="R618" s="31">
        <v>0</v>
      </c>
      <c r="S618" s="31">
        <v>0</v>
      </c>
      <c r="T618" s="31">
        <v>0</v>
      </c>
      <c r="U618" s="31">
        <v>0</v>
      </c>
      <c r="V618" s="31">
        <v>0</v>
      </c>
      <c r="W618" s="31">
        <v>0</v>
      </c>
      <c r="X618" s="31">
        <v>0</v>
      </c>
      <c r="Y618" s="31">
        <v>0</v>
      </c>
      <c r="Z618" s="31">
        <v>0</v>
      </c>
      <c r="AA618" s="31">
        <v>0</v>
      </c>
      <c r="AB618" s="31">
        <v>0</v>
      </c>
      <c r="AC618" s="31">
        <v>26064.3</v>
      </c>
      <c r="AD618" s="31">
        <v>0</v>
      </c>
      <c r="AE618" s="31">
        <v>0</v>
      </c>
      <c r="AF618" s="34" t="s">
        <v>274</v>
      </c>
      <c r="AG618" s="34">
        <v>2021</v>
      </c>
      <c r="AH618" s="35">
        <v>2021</v>
      </c>
      <c r="BZ618" s="71"/>
      <c r="CD618" s="20">
        <f t="shared" si="125"/>
        <v>523.98</v>
      </c>
    </row>
    <row r="619" spans="1:82" ht="61.5" x14ac:dyDescent="0.85">
      <c r="A619" s="20">
        <v>1</v>
      </c>
      <c r="B619" s="66">
        <f>SUBTOTAL(103,$A$554:A619)</f>
        <v>66</v>
      </c>
      <c r="C619" s="24" t="s">
        <v>1149</v>
      </c>
      <c r="D619" s="31">
        <f t="shared" si="121"/>
        <v>3815414.32</v>
      </c>
      <c r="E619" s="31">
        <v>0</v>
      </c>
      <c r="F619" s="31">
        <v>0</v>
      </c>
      <c r="G619" s="31">
        <v>0</v>
      </c>
      <c r="H619" s="31">
        <v>0</v>
      </c>
      <c r="I619" s="31">
        <v>0</v>
      </c>
      <c r="J619" s="31">
        <v>0</v>
      </c>
      <c r="K619" s="33">
        <v>0</v>
      </c>
      <c r="L619" s="31">
        <v>0</v>
      </c>
      <c r="M619" s="31">
        <v>0</v>
      </c>
      <c r="N619" s="31">
        <v>0</v>
      </c>
      <c r="O619" s="31">
        <v>0</v>
      </c>
      <c r="P619" s="31">
        <v>0</v>
      </c>
      <c r="Q619" s="31">
        <v>1389</v>
      </c>
      <c r="R619" s="31">
        <v>3640802.29</v>
      </c>
      <c r="S619" s="31">
        <v>0</v>
      </c>
      <c r="T619" s="31">
        <v>0</v>
      </c>
      <c r="U619" s="31">
        <v>0</v>
      </c>
      <c r="V619" s="31">
        <v>0</v>
      </c>
      <c r="W619" s="31">
        <v>0</v>
      </c>
      <c r="X619" s="31">
        <v>0</v>
      </c>
      <c r="Y619" s="31">
        <v>0</v>
      </c>
      <c r="Z619" s="31">
        <v>0</v>
      </c>
      <c r="AA619" s="31">
        <v>0</v>
      </c>
      <c r="AB619" s="31">
        <v>0</v>
      </c>
      <c r="AC619" s="31">
        <v>54612.03</v>
      </c>
      <c r="AD619" s="31">
        <v>120000</v>
      </c>
      <c r="AE619" s="31">
        <v>0</v>
      </c>
      <c r="AF619" s="34">
        <v>2021</v>
      </c>
      <c r="AG619" s="34">
        <v>2021</v>
      </c>
      <c r="AH619" s="35">
        <v>2021</v>
      </c>
      <c r="BZ619" s="71"/>
      <c r="CD619" s="20" t="e">
        <f t="shared" si="125"/>
        <v>#N/A</v>
      </c>
    </row>
    <row r="620" spans="1:82" ht="61.5" x14ac:dyDescent="0.85">
      <c r="A620" s="20">
        <v>1</v>
      </c>
      <c r="B620" s="66">
        <f>SUBTOTAL(103,$A$554:A620)</f>
        <v>67</v>
      </c>
      <c r="C620" s="24" t="s">
        <v>1150</v>
      </c>
      <c r="D620" s="31">
        <f t="shared" si="121"/>
        <v>3246745.9499999997</v>
      </c>
      <c r="E620" s="31">
        <v>0</v>
      </c>
      <c r="F620" s="31">
        <v>0</v>
      </c>
      <c r="G620" s="31">
        <v>0</v>
      </c>
      <c r="H620" s="31">
        <v>0</v>
      </c>
      <c r="I620" s="31"/>
      <c r="J620" s="31">
        <v>0</v>
      </c>
      <c r="K620" s="33">
        <v>0</v>
      </c>
      <c r="L620" s="31">
        <v>0</v>
      </c>
      <c r="M620" s="31">
        <v>1093</v>
      </c>
      <c r="N620" s="31">
        <v>3199000.86</v>
      </c>
      <c r="O620" s="31">
        <v>0</v>
      </c>
      <c r="P620" s="31">
        <v>0</v>
      </c>
      <c r="Q620" s="31">
        <v>0</v>
      </c>
      <c r="R620" s="31">
        <v>0</v>
      </c>
      <c r="S620" s="31">
        <v>0</v>
      </c>
      <c r="T620" s="31">
        <v>0</v>
      </c>
      <c r="U620" s="31">
        <v>0</v>
      </c>
      <c r="V620" s="31">
        <v>0</v>
      </c>
      <c r="W620" s="31">
        <v>0</v>
      </c>
      <c r="X620" s="31">
        <v>0</v>
      </c>
      <c r="Y620" s="31">
        <v>0</v>
      </c>
      <c r="Z620" s="31">
        <v>0</v>
      </c>
      <c r="AA620" s="31">
        <v>0</v>
      </c>
      <c r="AB620" s="31">
        <v>0</v>
      </c>
      <c r="AC620" s="31">
        <v>47745.09</v>
      </c>
      <c r="AD620" s="31">
        <v>0</v>
      </c>
      <c r="AE620" s="31">
        <v>0</v>
      </c>
      <c r="AF620" s="34" t="s">
        <v>274</v>
      </c>
      <c r="AG620" s="34">
        <v>2021</v>
      </c>
      <c r="AH620" s="35">
        <v>2021</v>
      </c>
      <c r="BZ620" s="71"/>
      <c r="CD620" s="20">
        <f t="shared" si="125"/>
        <v>1093</v>
      </c>
    </row>
    <row r="621" spans="1:82" ht="61.5" x14ac:dyDescent="0.85">
      <c r="A621" s="20">
        <v>1</v>
      </c>
      <c r="B621" s="66">
        <f>SUBTOTAL(103,$A$554:A621)</f>
        <v>68</v>
      </c>
      <c r="C621" s="24" t="s">
        <v>1151</v>
      </c>
      <c r="D621" s="31">
        <f t="shared" si="121"/>
        <v>3669425.82</v>
      </c>
      <c r="E621" s="31">
        <v>0</v>
      </c>
      <c r="F621" s="31">
        <v>0</v>
      </c>
      <c r="G621" s="31">
        <v>0</v>
      </c>
      <c r="H621" s="31">
        <v>0</v>
      </c>
      <c r="I621" s="31">
        <v>0</v>
      </c>
      <c r="J621" s="31">
        <v>0</v>
      </c>
      <c r="K621" s="33">
        <v>0</v>
      </c>
      <c r="L621" s="31">
        <v>0</v>
      </c>
      <c r="M621" s="31">
        <v>0</v>
      </c>
      <c r="N621" s="31">
        <v>0</v>
      </c>
      <c r="O621" s="31">
        <v>0</v>
      </c>
      <c r="P621" s="31">
        <v>0</v>
      </c>
      <c r="Q621" s="31">
        <v>1778.5</v>
      </c>
      <c r="R621" s="31">
        <v>3615465</v>
      </c>
      <c r="S621" s="31">
        <v>0</v>
      </c>
      <c r="T621" s="31">
        <v>0</v>
      </c>
      <c r="U621" s="31">
        <v>0</v>
      </c>
      <c r="V621" s="31">
        <v>0</v>
      </c>
      <c r="W621" s="31">
        <v>0</v>
      </c>
      <c r="X621" s="31">
        <v>0</v>
      </c>
      <c r="Y621" s="31">
        <v>0</v>
      </c>
      <c r="Z621" s="31">
        <v>0</v>
      </c>
      <c r="AA621" s="31">
        <v>0</v>
      </c>
      <c r="AB621" s="31">
        <v>0</v>
      </c>
      <c r="AC621" s="31">
        <v>53960.82</v>
      </c>
      <c r="AD621" s="31">
        <v>0</v>
      </c>
      <c r="AE621" s="31">
        <v>0</v>
      </c>
      <c r="AF621" s="34" t="s">
        <v>274</v>
      </c>
      <c r="AG621" s="34">
        <v>2021</v>
      </c>
      <c r="AH621" s="35">
        <v>2021</v>
      </c>
      <c r="BZ621" s="71"/>
      <c r="CD621" s="20" t="e">
        <f t="shared" si="125"/>
        <v>#N/A</v>
      </c>
    </row>
    <row r="622" spans="1:82" ht="61.5" x14ac:dyDescent="0.85">
      <c r="A622" s="20">
        <v>1</v>
      </c>
      <c r="B622" s="66">
        <f>SUBTOTAL(103,$A$554:A622)</f>
        <v>69</v>
      </c>
      <c r="C622" s="24" t="s">
        <v>1161</v>
      </c>
      <c r="D622" s="31">
        <f t="shared" si="121"/>
        <v>2273804.56</v>
      </c>
      <c r="E622" s="31">
        <v>0</v>
      </c>
      <c r="F622" s="31">
        <v>0</v>
      </c>
      <c r="G622" s="31">
        <v>0</v>
      </c>
      <c r="H622" s="31">
        <v>0</v>
      </c>
      <c r="I622" s="31">
        <v>0</v>
      </c>
      <c r="J622" s="31">
        <v>0</v>
      </c>
      <c r="K622" s="33">
        <v>0</v>
      </c>
      <c r="L622" s="31">
        <v>0</v>
      </c>
      <c r="M622" s="31">
        <v>543.4</v>
      </c>
      <c r="N622" s="31">
        <v>2166470</v>
      </c>
      <c r="O622" s="31">
        <v>0</v>
      </c>
      <c r="P622" s="31">
        <v>0</v>
      </c>
      <c r="Q622" s="31">
        <v>0</v>
      </c>
      <c r="R622" s="31">
        <v>0</v>
      </c>
      <c r="S622" s="31">
        <v>0</v>
      </c>
      <c r="T622" s="31">
        <v>0</v>
      </c>
      <c r="U622" s="31">
        <v>0</v>
      </c>
      <c r="V622" s="31">
        <v>0</v>
      </c>
      <c r="W622" s="31">
        <v>0</v>
      </c>
      <c r="X622" s="31">
        <v>0</v>
      </c>
      <c r="Y622" s="31">
        <v>0</v>
      </c>
      <c r="Z622" s="31">
        <v>0</v>
      </c>
      <c r="AA622" s="31">
        <v>0</v>
      </c>
      <c r="AB622" s="31">
        <v>0</v>
      </c>
      <c r="AC622" s="31">
        <v>32334.560000000001</v>
      </c>
      <c r="AD622" s="31">
        <v>75000</v>
      </c>
      <c r="AE622" s="31">
        <v>0</v>
      </c>
      <c r="AF622" s="34">
        <v>2021</v>
      </c>
      <c r="AG622" s="34">
        <v>2021</v>
      </c>
      <c r="AH622" s="35">
        <v>2021</v>
      </c>
      <c r="BZ622" s="71"/>
      <c r="CD622" s="20" t="e">
        <f t="shared" si="125"/>
        <v>#N/A</v>
      </c>
    </row>
    <row r="623" spans="1:82" ht="61.5" x14ac:dyDescent="0.85">
      <c r="A623" s="20">
        <v>1</v>
      </c>
      <c r="B623" s="66">
        <f>SUBTOTAL(103,$A$554:A623)</f>
        <v>70</v>
      </c>
      <c r="C623" s="24" t="s">
        <v>1162</v>
      </c>
      <c r="D623" s="31">
        <f t="shared" si="121"/>
        <v>2765824.94</v>
      </c>
      <c r="E623" s="31">
        <v>0</v>
      </c>
      <c r="F623" s="31">
        <v>0</v>
      </c>
      <c r="G623" s="31">
        <v>0</v>
      </c>
      <c r="H623" s="31">
        <v>0</v>
      </c>
      <c r="I623" s="31">
        <v>0</v>
      </c>
      <c r="J623" s="31">
        <v>0</v>
      </c>
      <c r="K623" s="33">
        <v>0</v>
      </c>
      <c r="L623" s="31">
        <v>0</v>
      </c>
      <c r="M623" s="31">
        <v>665</v>
      </c>
      <c r="N623" s="31">
        <v>2653225</v>
      </c>
      <c r="O623" s="31">
        <v>0</v>
      </c>
      <c r="P623" s="31">
        <v>0</v>
      </c>
      <c r="Q623" s="31">
        <v>0</v>
      </c>
      <c r="R623" s="31">
        <v>0</v>
      </c>
      <c r="S623" s="31">
        <v>0</v>
      </c>
      <c r="T623" s="31">
        <v>0</v>
      </c>
      <c r="U623" s="31">
        <v>0</v>
      </c>
      <c r="V623" s="31">
        <v>0</v>
      </c>
      <c r="W623" s="31">
        <v>0</v>
      </c>
      <c r="X623" s="31">
        <v>0</v>
      </c>
      <c r="Y623" s="31">
        <v>0</v>
      </c>
      <c r="Z623" s="31">
        <v>0</v>
      </c>
      <c r="AA623" s="31">
        <v>0</v>
      </c>
      <c r="AB623" s="31">
        <v>0</v>
      </c>
      <c r="AC623" s="31">
        <v>39599.379999999997</v>
      </c>
      <c r="AD623" s="31">
        <v>73000.56</v>
      </c>
      <c r="AE623" s="31">
        <v>0</v>
      </c>
      <c r="AF623" s="34">
        <v>2021</v>
      </c>
      <c r="AG623" s="34">
        <v>2021</v>
      </c>
      <c r="AH623" s="35">
        <v>2021</v>
      </c>
      <c r="BZ623" s="71"/>
      <c r="CD623" s="20" t="e">
        <f t="shared" si="125"/>
        <v>#N/A</v>
      </c>
    </row>
    <row r="624" spans="1:82" ht="61.5" x14ac:dyDescent="0.85">
      <c r="A624" s="20">
        <v>1</v>
      </c>
      <c r="B624" s="66">
        <f>SUBTOTAL(103,$A$554:A624)</f>
        <v>71</v>
      </c>
      <c r="C624" s="24" t="s">
        <v>1637</v>
      </c>
      <c r="D624" s="31">
        <f t="shared" si="121"/>
        <v>2292500.0499999998</v>
      </c>
      <c r="E624" s="31">
        <v>0</v>
      </c>
      <c r="F624" s="31">
        <v>0</v>
      </c>
      <c r="G624" s="31">
        <v>0</v>
      </c>
      <c r="H624" s="31">
        <v>0</v>
      </c>
      <c r="I624" s="31">
        <v>0</v>
      </c>
      <c r="J624" s="31">
        <v>0</v>
      </c>
      <c r="K624" s="33">
        <v>0</v>
      </c>
      <c r="L624" s="31">
        <v>0</v>
      </c>
      <c r="M624" s="31">
        <v>0</v>
      </c>
      <c r="N624" s="31">
        <v>0</v>
      </c>
      <c r="O624" s="31">
        <v>0</v>
      </c>
      <c r="P624" s="31">
        <v>0</v>
      </c>
      <c r="Q624" s="31">
        <v>840</v>
      </c>
      <c r="R624" s="31">
        <v>2179803</v>
      </c>
      <c r="S624" s="31">
        <v>0</v>
      </c>
      <c r="T624" s="31">
        <v>0</v>
      </c>
      <c r="U624" s="31">
        <v>0</v>
      </c>
      <c r="V624" s="31">
        <v>0</v>
      </c>
      <c r="W624" s="31">
        <v>0</v>
      </c>
      <c r="X624" s="31">
        <v>0</v>
      </c>
      <c r="Y624" s="31">
        <v>0</v>
      </c>
      <c r="Z624" s="31">
        <v>0</v>
      </c>
      <c r="AA624" s="31">
        <v>0</v>
      </c>
      <c r="AB624" s="31">
        <v>0</v>
      </c>
      <c r="AC624" s="31">
        <v>32697.05</v>
      </c>
      <c r="AD624" s="31">
        <v>80000</v>
      </c>
      <c r="AE624" s="31">
        <v>0</v>
      </c>
      <c r="AF624" s="34">
        <v>2021</v>
      </c>
      <c r="AG624" s="34">
        <v>2021</v>
      </c>
      <c r="AH624" s="35">
        <v>2021</v>
      </c>
      <c r="BZ624" s="71"/>
      <c r="CD624" s="20" t="e">
        <f t="shared" si="125"/>
        <v>#N/A</v>
      </c>
    </row>
    <row r="625" spans="1:82" ht="61.5" x14ac:dyDescent="0.85">
      <c r="A625" s="20">
        <v>1</v>
      </c>
      <c r="B625" s="66">
        <f>SUBTOTAL(103,$A$554:A625)</f>
        <v>72</v>
      </c>
      <c r="C625" s="24" t="s">
        <v>1667</v>
      </c>
      <c r="D625" s="31">
        <f t="shared" si="121"/>
        <v>3926550</v>
      </c>
      <c r="E625" s="31">
        <v>0</v>
      </c>
      <c r="F625" s="31">
        <v>0</v>
      </c>
      <c r="G625" s="31">
        <v>0</v>
      </c>
      <c r="H625" s="31">
        <v>0</v>
      </c>
      <c r="I625" s="31">
        <v>0</v>
      </c>
      <c r="J625" s="31">
        <v>0</v>
      </c>
      <c r="K625" s="33">
        <v>0</v>
      </c>
      <c r="L625" s="31">
        <v>0</v>
      </c>
      <c r="M625" s="31">
        <v>900</v>
      </c>
      <c r="N625" s="31">
        <v>3770000</v>
      </c>
      <c r="O625" s="31">
        <v>0</v>
      </c>
      <c r="P625" s="31">
        <v>0</v>
      </c>
      <c r="Q625" s="31">
        <v>0</v>
      </c>
      <c r="R625" s="31">
        <v>0</v>
      </c>
      <c r="S625" s="31">
        <v>0</v>
      </c>
      <c r="T625" s="31">
        <v>0</v>
      </c>
      <c r="U625" s="31">
        <v>0</v>
      </c>
      <c r="V625" s="31">
        <v>0</v>
      </c>
      <c r="W625" s="31">
        <v>0</v>
      </c>
      <c r="X625" s="31">
        <v>0</v>
      </c>
      <c r="Y625" s="31">
        <v>0</v>
      </c>
      <c r="Z625" s="31">
        <v>0</v>
      </c>
      <c r="AA625" s="31">
        <v>0</v>
      </c>
      <c r="AB625" s="31">
        <v>0</v>
      </c>
      <c r="AC625" s="31">
        <v>56550</v>
      </c>
      <c r="AD625" s="31">
        <v>100000</v>
      </c>
      <c r="AE625" s="31">
        <v>0</v>
      </c>
      <c r="AF625" s="34">
        <v>2021</v>
      </c>
      <c r="AG625" s="34">
        <v>2021</v>
      </c>
      <c r="AH625" s="35">
        <v>2021</v>
      </c>
      <c r="BZ625" s="71"/>
      <c r="CD625" s="20" t="e">
        <f t="shared" si="125"/>
        <v>#N/A</v>
      </c>
    </row>
    <row r="626" spans="1:82" ht="61.5" x14ac:dyDescent="0.85">
      <c r="A626" s="20">
        <v>1</v>
      </c>
      <c r="B626" s="66">
        <f>SUBTOTAL(103,$A$554:A626)</f>
        <v>73</v>
      </c>
      <c r="C626" s="24" t="s">
        <v>1668</v>
      </c>
      <c r="D626" s="31">
        <f t="shared" si="121"/>
        <v>3767934.93</v>
      </c>
      <c r="E626" s="31">
        <v>0</v>
      </c>
      <c r="F626" s="31">
        <v>0</v>
      </c>
      <c r="G626" s="31">
        <v>0</v>
      </c>
      <c r="H626" s="31">
        <v>0</v>
      </c>
      <c r="I626" s="31">
        <v>0</v>
      </c>
      <c r="J626" s="31">
        <v>0</v>
      </c>
      <c r="K626" s="33">
        <v>0</v>
      </c>
      <c r="L626" s="31">
        <v>0</v>
      </c>
      <c r="M626" s="31">
        <v>830</v>
      </c>
      <c r="N626" s="31">
        <v>3613729</v>
      </c>
      <c r="O626" s="31">
        <v>0</v>
      </c>
      <c r="P626" s="31">
        <v>0</v>
      </c>
      <c r="Q626" s="31">
        <v>0</v>
      </c>
      <c r="R626" s="31">
        <v>0</v>
      </c>
      <c r="S626" s="31">
        <v>0</v>
      </c>
      <c r="T626" s="31">
        <v>0</v>
      </c>
      <c r="U626" s="31">
        <v>0</v>
      </c>
      <c r="V626" s="31">
        <v>0</v>
      </c>
      <c r="W626" s="31">
        <v>0</v>
      </c>
      <c r="X626" s="31">
        <v>0</v>
      </c>
      <c r="Y626" s="31">
        <v>0</v>
      </c>
      <c r="Z626" s="31">
        <v>0</v>
      </c>
      <c r="AA626" s="31">
        <v>0</v>
      </c>
      <c r="AB626" s="31">
        <v>0</v>
      </c>
      <c r="AC626" s="31">
        <v>54205.93</v>
      </c>
      <c r="AD626" s="31">
        <v>100000</v>
      </c>
      <c r="AE626" s="31">
        <v>0</v>
      </c>
      <c r="AF626" s="34">
        <v>2021</v>
      </c>
      <c r="AG626" s="34">
        <v>2021</v>
      </c>
      <c r="AH626" s="35">
        <v>2021</v>
      </c>
      <c r="BZ626" s="71"/>
      <c r="CD626" s="20" t="e">
        <f t="shared" si="125"/>
        <v>#N/A</v>
      </c>
    </row>
    <row r="627" spans="1:82" ht="61.5" x14ac:dyDescent="0.85">
      <c r="A627" s="20">
        <v>1</v>
      </c>
      <c r="B627" s="66">
        <f>SUBTOTAL(103,$A$554:A627)</f>
        <v>74</v>
      </c>
      <c r="C627" s="24" t="s">
        <v>1669</v>
      </c>
      <c r="D627" s="31">
        <f t="shared" si="121"/>
        <v>3158283.01</v>
      </c>
      <c r="E627" s="31">
        <v>0</v>
      </c>
      <c r="F627" s="31">
        <v>0</v>
      </c>
      <c r="G627" s="31">
        <v>0</v>
      </c>
      <c r="H627" s="31">
        <v>0</v>
      </c>
      <c r="I627" s="31">
        <v>0</v>
      </c>
      <c r="J627" s="31">
        <v>0</v>
      </c>
      <c r="K627" s="33">
        <v>0</v>
      </c>
      <c r="L627" s="31">
        <v>0</v>
      </c>
      <c r="M627" s="31">
        <v>0</v>
      </c>
      <c r="N627" s="31">
        <v>0</v>
      </c>
      <c r="O627" s="31">
        <v>0</v>
      </c>
      <c r="P627" s="31">
        <v>0</v>
      </c>
      <c r="Q627" s="31">
        <v>1343.2</v>
      </c>
      <c r="R627" s="31">
        <v>3013086.71</v>
      </c>
      <c r="S627" s="31">
        <v>0</v>
      </c>
      <c r="T627" s="31">
        <v>0</v>
      </c>
      <c r="U627" s="31">
        <v>0</v>
      </c>
      <c r="V627" s="31">
        <v>0</v>
      </c>
      <c r="W627" s="31">
        <v>0</v>
      </c>
      <c r="X627" s="31">
        <v>0</v>
      </c>
      <c r="Y627" s="31">
        <v>0</v>
      </c>
      <c r="Z627" s="31">
        <v>0</v>
      </c>
      <c r="AA627" s="31">
        <v>0</v>
      </c>
      <c r="AB627" s="31">
        <v>0</v>
      </c>
      <c r="AC627" s="31">
        <v>45196.3</v>
      </c>
      <c r="AD627" s="31">
        <v>100000</v>
      </c>
      <c r="AE627" s="31">
        <v>0</v>
      </c>
      <c r="AF627" s="34">
        <v>2021</v>
      </c>
      <c r="AG627" s="34">
        <v>2021</v>
      </c>
      <c r="AH627" s="35">
        <v>2021</v>
      </c>
      <c r="BZ627" s="71"/>
      <c r="CD627" s="20" t="e">
        <f t="shared" si="125"/>
        <v>#N/A</v>
      </c>
    </row>
    <row r="628" spans="1:82" ht="61.5" x14ac:dyDescent="0.85">
      <c r="A628" s="20">
        <v>1</v>
      </c>
      <c r="B628" s="66">
        <f>SUBTOTAL(103,$A$554:A628)</f>
        <v>75</v>
      </c>
      <c r="C628" s="24" t="s">
        <v>580</v>
      </c>
      <c r="D628" s="31">
        <f t="shared" si="121"/>
        <v>80000</v>
      </c>
      <c r="E628" s="31">
        <v>0</v>
      </c>
      <c r="F628" s="31">
        <v>0</v>
      </c>
      <c r="G628" s="31">
        <v>0</v>
      </c>
      <c r="H628" s="31">
        <v>0</v>
      </c>
      <c r="I628" s="31">
        <v>0</v>
      </c>
      <c r="J628" s="31">
        <v>0</v>
      </c>
      <c r="K628" s="33">
        <v>0</v>
      </c>
      <c r="L628" s="31">
        <v>0</v>
      </c>
      <c r="M628" s="31">
        <v>0</v>
      </c>
      <c r="N628" s="31">
        <v>0</v>
      </c>
      <c r="O628" s="31">
        <v>0</v>
      </c>
      <c r="P628" s="31">
        <v>0</v>
      </c>
      <c r="Q628" s="31">
        <v>0</v>
      </c>
      <c r="R628" s="31">
        <v>0</v>
      </c>
      <c r="S628" s="31">
        <v>0</v>
      </c>
      <c r="T628" s="31">
        <v>0</v>
      </c>
      <c r="U628" s="31">
        <v>0</v>
      </c>
      <c r="V628" s="31">
        <v>0</v>
      </c>
      <c r="W628" s="31">
        <v>0</v>
      </c>
      <c r="X628" s="31">
        <v>0</v>
      </c>
      <c r="Y628" s="31">
        <v>0</v>
      </c>
      <c r="Z628" s="31">
        <v>0</v>
      </c>
      <c r="AA628" s="31">
        <v>0</v>
      </c>
      <c r="AB628" s="31">
        <v>0</v>
      </c>
      <c r="AC628" s="31">
        <v>0</v>
      </c>
      <c r="AD628" s="31">
        <v>80000</v>
      </c>
      <c r="AE628" s="31">
        <v>0</v>
      </c>
      <c r="AF628" s="34">
        <v>2021</v>
      </c>
      <c r="AG628" s="34" t="s">
        <v>274</v>
      </c>
      <c r="AH628" s="35" t="s">
        <v>274</v>
      </c>
      <c r="BZ628" s="71"/>
      <c r="CD628" s="20" t="e">
        <f t="shared" si="125"/>
        <v>#N/A</v>
      </c>
    </row>
    <row r="629" spans="1:82" ht="61.5" x14ac:dyDescent="0.85">
      <c r="A629" s="20">
        <v>1</v>
      </c>
      <c r="B629" s="66">
        <f>SUBTOTAL(103,$A$554:A629)</f>
        <v>76</v>
      </c>
      <c r="C629" s="24" t="s">
        <v>581</v>
      </c>
      <c r="D629" s="31">
        <f t="shared" si="121"/>
        <v>70000</v>
      </c>
      <c r="E629" s="31">
        <v>0</v>
      </c>
      <c r="F629" s="31">
        <v>0</v>
      </c>
      <c r="G629" s="31">
        <v>0</v>
      </c>
      <c r="H629" s="31">
        <v>0</v>
      </c>
      <c r="I629" s="31">
        <v>0</v>
      </c>
      <c r="J629" s="31">
        <v>0</v>
      </c>
      <c r="K629" s="33">
        <v>0</v>
      </c>
      <c r="L629" s="31">
        <v>0</v>
      </c>
      <c r="M629" s="31">
        <v>0</v>
      </c>
      <c r="N629" s="31">
        <v>0</v>
      </c>
      <c r="O629" s="31">
        <v>0</v>
      </c>
      <c r="P629" s="31">
        <v>0</v>
      </c>
      <c r="Q629" s="31">
        <v>0</v>
      </c>
      <c r="R629" s="31">
        <v>0</v>
      </c>
      <c r="S629" s="31">
        <v>0</v>
      </c>
      <c r="T629" s="31">
        <v>0</v>
      </c>
      <c r="U629" s="31">
        <v>0</v>
      </c>
      <c r="V629" s="31">
        <v>0</v>
      </c>
      <c r="W629" s="31">
        <v>0</v>
      </c>
      <c r="X629" s="31">
        <v>0</v>
      </c>
      <c r="Y629" s="31">
        <v>0</v>
      </c>
      <c r="Z629" s="31">
        <v>0</v>
      </c>
      <c r="AA629" s="31">
        <v>0</v>
      </c>
      <c r="AB629" s="31">
        <v>0</v>
      </c>
      <c r="AC629" s="31">
        <v>0</v>
      </c>
      <c r="AD629" s="31">
        <v>70000</v>
      </c>
      <c r="AE629" s="31">
        <v>0</v>
      </c>
      <c r="AF629" s="34">
        <v>2021</v>
      </c>
      <c r="AG629" s="34" t="s">
        <v>274</v>
      </c>
      <c r="AH629" s="35" t="s">
        <v>274</v>
      </c>
      <c r="BZ629" s="71"/>
      <c r="CD629" s="20" t="e">
        <f t="shared" si="125"/>
        <v>#N/A</v>
      </c>
    </row>
    <row r="630" spans="1:82" ht="61.5" x14ac:dyDescent="0.85">
      <c r="A630" s="20">
        <v>1</v>
      </c>
      <c r="B630" s="66">
        <f>SUBTOTAL(103,$A$554:A630)</f>
        <v>77</v>
      </c>
      <c r="C630" s="24" t="s">
        <v>1096</v>
      </c>
      <c r="D630" s="31">
        <f t="shared" si="121"/>
        <v>80000</v>
      </c>
      <c r="E630" s="31">
        <v>0</v>
      </c>
      <c r="F630" s="31">
        <v>0</v>
      </c>
      <c r="G630" s="31">
        <v>0</v>
      </c>
      <c r="H630" s="31">
        <v>0</v>
      </c>
      <c r="I630" s="31">
        <v>0</v>
      </c>
      <c r="J630" s="31">
        <v>0</v>
      </c>
      <c r="K630" s="33">
        <v>0</v>
      </c>
      <c r="L630" s="31">
        <v>0</v>
      </c>
      <c r="M630" s="31">
        <v>0</v>
      </c>
      <c r="N630" s="31">
        <v>0</v>
      </c>
      <c r="O630" s="31">
        <v>0</v>
      </c>
      <c r="P630" s="31">
        <v>0</v>
      </c>
      <c r="Q630" s="31">
        <v>0</v>
      </c>
      <c r="R630" s="31">
        <v>0</v>
      </c>
      <c r="S630" s="31">
        <v>0</v>
      </c>
      <c r="T630" s="31">
        <v>0</v>
      </c>
      <c r="U630" s="31">
        <v>0</v>
      </c>
      <c r="V630" s="31">
        <v>0</v>
      </c>
      <c r="W630" s="31">
        <v>0</v>
      </c>
      <c r="X630" s="31">
        <v>0</v>
      </c>
      <c r="Y630" s="31">
        <v>0</v>
      </c>
      <c r="Z630" s="31">
        <v>0</v>
      </c>
      <c r="AA630" s="31">
        <v>0</v>
      </c>
      <c r="AB630" s="31">
        <v>0</v>
      </c>
      <c r="AC630" s="31">
        <v>0</v>
      </c>
      <c r="AD630" s="31">
        <v>80000</v>
      </c>
      <c r="AE630" s="31">
        <v>0</v>
      </c>
      <c r="AF630" s="34">
        <v>2021</v>
      </c>
      <c r="AG630" s="34" t="s">
        <v>274</v>
      </c>
      <c r="AH630" s="35" t="s">
        <v>274</v>
      </c>
      <c r="BZ630" s="71"/>
      <c r="CD630" s="20" t="e">
        <f t="shared" si="125"/>
        <v>#N/A</v>
      </c>
    </row>
    <row r="631" spans="1:82" ht="61.5" x14ac:dyDescent="0.85">
      <c r="A631" s="20">
        <v>1</v>
      </c>
      <c r="B631" s="66">
        <f>SUBTOTAL(103,$A$554:A631)</f>
        <v>78</v>
      </c>
      <c r="C631" s="24" t="s">
        <v>582</v>
      </c>
      <c r="D631" s="31">
        <f t="shared" si="121"/>
        <v>100000</v>
      </c>
      <c r="E631" s="31">
        <v>0</v>
      </c>
      <c r="F631" s="31">
        <v>0</v>
      </c>
      <c r="G631" s="31">
        <v>0</v>
      </c>
      <c r="H631" s="31">
        <v>0</v>
      </c>
      <c r="I631" s="31">
        <v>0</v>
      </c>
      <c r="J631" s="31">
        <v>0</v>
      </c>
      <c r="K631" s="33">
        <v>0</v>
      </c>
      <c r="L631" s="31">
        <v>0</v>
      </c>
      <c r="M631" s="31">
        <v>0</v>
      </c>
      <c r="N631" s="31">
        <v>0</v>
      </c>
      <c r="O631" s="31">
        <v>0</v>
      </c>
      <c r="P631" s="31">
        <v>0</v>
      </c>
      <c r="Q631" s="31">
        <v>0</v>
      </c>
      <c r="R631" s="31">
        <v>0</v>
      </c>
      <c r="S631" s="31">
        <v>0</v>
      </c>
      <c r="T631" s="31">
        <v>0</v>
      </c>
      <c r="U631" s="31">
        <v>0</v>
      </c>
      <c r="V631" s="31">
        <v>0</v>
      </c>
      <c r="W631" s="31">
        <v>0</v>
      </c>
      <c r="X631" s="31">
        <v>0</v>
      </c>
      <c r="Y631" s="31">
        <v>0</v>
      </c>
      <c r="Z631" s="31">
        <v>0</v>
      </c>
      <c r="AA631" s="31">
        <v>0</v>
      </c>
      <c r="AB631" s="31">
        <v>0</v>
      </c>
      <c r="AC631" s="31">
        <v>0</v>
      </c>
      <c r="AD631" s="31">
        <v>100000</v>
      </c>
      <c r="AE631" s="31">
        <v>0</v>
      </c>
      <c r="AF631" s="34">
        <v>2021</v>
      </c>
      <c r="AG631" s="34" t="s">
        <v>274</v>
      </c>
      <c r="AH631" s="35" t="s">
        <v>274</v>
      </c>
      <c r="BZ631" s="71"/>
      <c r="CD631" s="20" t="e">
        <f t="shared" si="125"/>
        <v>#N/A</v>
      </c>
    </row>
    <row r="632" spans="1:82" ht="61.5" x14ac:dyDescent="0.85">
      <c r="A632" s="20">
        <v>1</v>
      </c>
      <c r="B632" s="66">
        <f>SUBTOTAL(103,$A$554:A632)</f>
        <v>79</v>
      </c>
      <c r="C632" s="24" t="s">
        <v>583</v>
      </c>
      <c r="D632" s="31">
        <f t="shared" si="121"/>
        <v>70000</v>
      </c>
      <c r="E632" s="31">
        <v>0</v>
      </c>
      <c r="F632" s="31">
        <v>0</v>
      </c>
      <c r="G632" s="31">
        <v>0</v>
      </c>
      <c r="H632" s="31">
        <v>0</v>
      </c>
      <c r="I632" s="31">
        <v>0</v>
      </c>
      <c r="J632" s="31">
        <v>0</v>
      </c>
      <c r="K632" s="33">
        <v>0</v>
      </c>
      <c r="L632" s="31">
        <v>0</v>
      </c>
      <c r="M632" s="31">
        <v>0</v>
      </c>
      <c r="N632" s="31">
        <v>0</v>
      </c>
      <c r="O632" s="31">
        <v>0</v>
      </c>
      <c r="P632" s="31">
        <v>0</v>
      </c>
      <c r="Q632" s="31">
        <v>0</v>
      </c>
      <c r="R632" s="31">
        <v>0</v>
      </c>
      <c r="S632" s="31">
        <v>0</v>
      </c>
      <c r="T632" s="31">
        <v>0</v>
      </c>
      <c r="U632" s="31">
        <v>0</v>
      </c>
      <c r="V632" s="31">
        <v>0</v>
      </c>
      <c r="W632" s="31">
        <v>0</v>
      </c>
      <c r="X632" s="31">
        <v>0</v>
      </c>
      <c r="Y632" s="31">
        <v>0</v>
      </c>
      <c r="Z632" s="31">
        <v>0</v>
      </c>
      <c r="AA632" s="31">
        <v>0</v>
      </c>
      <c r="AB632" s="31">
        <v>0</v>
      </c>
      <c r="AC632" s="31">
        <v>0</v>
      </c>
      <c r="AD632" s="31">
        <v>70000</v>
      </c>
      <c r="AE632" s="31">
        <v>0</v>
      </c>
      <c r="AF632" s="34">
        <v>2021</v>
      </c>
      <c r="AG632" s="34" t="s">
        <v>274</v>
      </c>
      <c r="AH632" s="35" t="s">
        <v>274</v>
      </c>
      <c r="BZ632" s="71"/>
      <c r="CD632" s="20" t="e">
        <f t="shared" si="125"/>
        <v>#N/A</v>
      </c>
    </row>
    <row r="633" spans="1:82" ht="61.5" x14ac:dyDescent="0.85">
      <c r="A633" s="20">
        <v>1</v>
      </c>
      <c r="B633" s="66">
        <f>SUBTOTAL(103,$A$554:A633)</f>
        <v>80</v>
      </c>
      <c r="C633" s="24" t="s">
        <v>584</v>
      </c>
      <c r="D633" s="31">
        <f t="shared" si="121"/>
        <v>100000</v>
      </c>
      <c r="E633" s="31">
        <v>0</v>
      </c>
      <c r="F633" s="31">
        <v>0</v>
      </c>
      <c r="G633" s="31">
        <v>0</v>
      </c>
      <c r="H633" s="31">
        <v>0</v>
      </c>
      <c r="I633" s="31">
        <v>0</v>
      </c>
      <c r="J633" s="31">
        <v>0</v>
      </c>
      <c r="K633" s="33">
        <v>0</v>
      </c>
      <c r="L633" s="31">
        <v>0</v>
      </c>
      <c r="M633" s="31">
        <v>0</v>
      </c>
      <c r="N633" s="31">
        <v>0</v>
      </c>
      <c r="O633" s="31">
        <v>0</v>
      </c>
      <c r="P633" s="31">
        <v>0</v>
      </c>
      <c r="Q633" s="31">
        <v>0</v>
      </c>
      <c r="R633" s="31">
        <v>0</v>
      </c>
      <c r="S633" s="31">
        <v>0</v>
      </c>
      <c r="T633" s="31">
        <v>0</v>
      </c>
      <c r="U633" s="31">
        <v>0</v>
      </c>
      <c r="V633" s="31">
        <v>0</v>
      </c>
      <c r="W633" s="31">
        <v>0</v>
      </c>
      <c r="X633" s="31">
        <v>0</v>
      </c>
      <c r="Y633" s="31">
        <v>0</v>
      </c>
      <c r="Z633" s="31">
        <v>0</v>
      </c>
      <c r="AA633" s="31">
        <v>0</v>
      </c>
      <c r="AB633" s="31">
        <v>0</v>
      </c>
      <c r="AC633" s="31">
        <v>0</v>
      </c>
      <c r="AD633" s="31">
        <v>100000</v>
      </c>
      <c r="AE633" s="31">
        <v>0</v>
      </c>
      <c r="AF633" s="34">
        <v>2021</v>
      </c>
      <c r="AG633" s="34" t="s">
        <v>274</v>
      </c>
      <c r="AH633" s="35" t="s">
        <v>274</v>
      </c>
      <c r="BZ633" s="71"/>
      <c r="CD633" s="20" t="e">
        <f t="shared" si="125"/>
        <v>#N/A</v>
      </c>
    </row>
    <row r="634" spans="1:82" ht="61.5" x14ac:dyDescent="0.85">
      <c r="A634" s="20">
        <v>1</v>
      </c>
      <c r="B634" s="66">
        <f>SUBTOTAL(103,$A$554:A634)</f>
        <v>81</v>
      </c>
      <c r="C634" s="24" t="s">
        <v>585</v>
      </c>
      <c r="D634" s="31">
        <f t="shared" si="121"/>
        <v>100000</v>
      </c>
      <c r="E634" s="31">
        <v>0</v>
      </c>
      <c r="F634" s="31">
        <v>0</v>
      </c>
      <c r="G634" s="31">
        <v>0</v>
      </c>
      <c r="H634" s="31">
        <v>0</v>
      </c>
      <c r="I634" s="31">
        <v>0</v>
      </c>
      <c r="J634" s="31">
        <v>0</v>
      </c>
      <c r="K634" s="33">
        <v>0</v>
      </c>
      <c r="L634" s="31">
        <v>0</v>
      </c>
      <c r="M634" s="31">
        <v>0</v>
      </c>
      <c r="N634" s="31">
        <v>0</v>
      </c>
      <c r="O634" s="31">
        <v>0</v>
      </c>
      <c r="P634" s="31">
        <v>0</v>
      </c>
      <c r="Q634" s="31">
        <v>0</v>
      </c>
      <c r="R634" s="31">
        <v>0</v>
      </c>
      <c r="S634" s="31">
        <v>0</v>
      </c>
      <c r="T634" s="31">
        <v>0</v>
      </c>
      <c r="U634" s="31">
        <v>0</v>
      </c>
      <c r="V634" s="31">
        <v>0</v>
      </c>
      <c r="W634" s="31">
        <v>0</v>
      </c>
      <c r="X634" s="31">
        <v>0</v>
      </c>
      <c r="Y634" s="31">
        <v>0</v>
      </c>
      <c r="Z634" s="31">
        <v>0</v>
      </c>
      <c r="AA634" s="31">
        <v>0</v>
      </c>
      <c r="AB634" s="31">
        <v>0</v>
      </c>
      <c r="AC634" s="31">
        <v>0</v>
      </c>
      <c r="AD634" s="31">
        <v>100000</v>
      </c>
      <c r="AE634" s="31">
        <v>0</v>
      </c>
      <c r="AF634" s="34">
        <v>2021</v>
      </c>
      <c r="AG634" s="34" t="s">
        <v>274</v>
      </c>
      <c r="AH634" s="35" t="s">
        <v>274</v>
      </c>
      <c r="BZ634" s="71"/>
      <c r="CD634" s="20" t="e">
        <f t="shared" si="125"/>
        <v>#N/A</v>
      </c>
    </row>
    <row r="635" spans="1:82" ht="61.5" x14ac:dyDescent="0.85">
      <c r="A635" s="20">
        <v>1</v>
      </c>
      <c r="B635" s="66">
        <f>SUBTOTAL(103,$A$554:A635)</f>
        <v>82</v>
      </c>
      <c r="C635" s="24" t="s">
        <v>586</v>
      </c>
      <c r="D635" s="31">
        <f t="shared" si="121"/>
        <v>100000</v>
      </c>
      <c r="E635" s="31">
        <v>0</v>
      </c>
      <c r="F635" s="31">
        <v>0</v>
      </c>
      <c r="G635" s="31">
        <v>0</v>
      </c>
      <c r="H635" s="31">
        <v>0</v>
      </c>
      <c r="I635" s="31">
        <v>0</v>
      </c>
      <c r="J635" s="31">
        <v>0</v>
      </c>
      <c r="K635" s="33">
        <v>0</v>
      </c>
      <c r="L635" s="31">
        <v>0</v>
      </c>
      <c r="M635" s="31">
        <v>0</v>
      </c>
      <c r="N635" s="31">
        <v>0</v>
      </c>
      <c r="O635" s="31">
        <v>0</v>
      </c>
      <c r="P635" s="31">
        <v>0</v>
      </c>
      <c r="Q635" s="31">
        <v>0</v>
      </c>
      <c r="R635" s="31">
        <v>0</v>
      </c>
      <c r="S635" s="31">
        <v>0</v>
      </c>
      <c r="T635" s="31">
        <v>0</v>
      </c>
      <c r="U635" s="31">
        <v>0</v>
      </c>
      <c r="V635" s="31">
        <v>0</v>
      </c>
      <c r="W635" s="31">
        <v>0</v>
      </c>
      <c r="X635" s="31">
        <v>0</v>
      </c>
      <c r="Y635" s="31">
        <v>0</v>
      </c>
      <c r="Z635" s="31">
        <v>0</v>
      </c>
      <c r="AA635" s="31">
        <v>0</v>
      </c>
      <c r="AB635" s="31">
        <v>0</v>
      </c>
      <c r="AC635" s="31">
        <v>0</v>
      </c>
      <c r="AD635" s="31">
        <v>100000</v>
      </c>
      <c r="AE635" s="31">
        <v>0</v>
      </c>
      <c r="AF635" s="34">
        <v>2021</v>
      </c>
      <c r="AG635" s="34" t="s">
        <v>274</v>
      </c>
      <c r="AH635" s="35" t="s">
        <v>274</v>
      </c>
      <c r="BZ635" s="71"/>
      <c r="CD635" s="20" t="e">
        <f t="shared" si="125"/>
        <v>#N/A</v>
      </c>
    </row>
    <row r="636" spans="1:82" ht="61.5" x14ac:dyDescent="0.85">
      <c r="A636" s="20">
        <v>1</v>
      </c>
      <c r="B636" s="66">
        <f>SUBTOTAL(103,$A$554:A636)</f>
        <v>83</v>
      </c>
      <c r="C636" s="24" t="s">
        <v>1682</v>
      </c>
      <c r="D636" s="31">
        <f t="shared" si="121"/>
        <v>100001.92</v>
      </c>
      <c r="E636" s="31">
        <v>0</v>
      </c>
      <c r="F636" s="31">
        <v>0</v>
      </c>
      <c r="G636" s="31">
        <v>0</v>
      </c>
      <c r="H636" s="31">
        <v>0</v>
      </c>
      <c r="I636" s="31">
        <v>0</v>
      </c>
      <c r="J636" s="31">
        <v>0</v>
      </c>
      <c r="K636" s="33">
        <v>0</v>
      </c>
      <c r="L636" s="31">
        <v>0</v>
      </c>
      <c r="M636" s="31">
        <v>0</v>
      </c>
      <c r="N636" s="31">
        <v>0</v>
      </c>
      <c r="O636" s="31">
        <v>0</v>
      </c>
      <c r="P636" s="31">
        <v>0</v>
      </c>
      <c r="Q636" s="31">
        <v>0</v>
      </c>
      <c r="R636" s="31">
        <v>0</v>
      </c>
      <c r="S636" s="31">
        <v>0</v>
      </c>
      <c r="T636" s="31">
        <v>0</v>
      </c>
      <c r="U636" s="31">
        <v>0</v>
      </c>
      <c r="V636" s="31">
        <v>0</v>
      </c>
      <c r="W636" s="31">
        <v>0</v>
      </c>
      <c r="X636" s="31">
        <v>0</v>
      </c>
      <c r="Y636" s="31">
        <v>0</v>
      </c>
      <c r="Z636" s="31">
        <v>0</v>
      </c>
      <c r="AA636" s="31">
        <v>0</v>
      </c>
      <c r="AB636" s="31">
        <v>0</v>
      </c>
      <c r="AC636" s="31">
        <v>0</v>
      </c>
      <c r="AD636" s="31">
        <v>100001.92</v>
      </c>
      <c r="AE636" s="31">
        <v>0</v>
      </c>
      <c r="AF636" s="34">
        <v>2021</v>
      </c>
      <c r="AG636" s="34" t="s">
        <v>274</v>
      </c>
      <c r="AH636" s="35" t="s">
        <v>274</v>
      </c>
      <c r="BZ636" s="71"/>
      <c r="CD636" s="20" t="e">
        <f t="shared" si="125"/>
        <v>#N/A</v>
      </c>
    </row>
    <row r="637" spans="1:82" ht="61.5" x14ac:dyDescent="0.85">
      <c r="A637" s="20">
        <v>1</v>
      </c>
      <c r="B637" s="66">
        <f>SUBTOTAL(103,$A$554:A637)</f>
        <v>84</v>
      </c>
      <c r="C637" s="24" t="s">
        <v>587</v>
      </c>
      <c r="D637" s="31">
        <f t="shared" si="121"/>
        <v>100000</v>
      </c>
      <c r="E637" s="31">
        <v>0</v>
      </c>
      <c r="F637" s="31">
        <v>0</v>
      </c>
      <c r="G637" s="31">
        <v>0</v>
      </c>
      <c r="H637" s="31">
        <v>0</v>
      </c>
      <c r="I637" s="31">
        <v>0</v>
      </c>
      <c r="J637" s="31">
        <v>0</v>
      </c>
      <c r="K637" s="33">
        <v>0</v>
      </c>
      <c r="L637" s="31">
        <v>0</v>
      </c>
      <c r="M637" s="31">
        <v>0</v>
      </c>
      <c r="N637" s="31">
        <v>0</v>
      </c>
      <c r="O637" s="31">
        <v>0</v>
      </c>
      <c r="P637" s="31">
        <v>0</v>
      </c>
      <c r="Q637" s="31">
        <v>0</v>
      </c>
      <c r="R637" s="31">
        <v>0</v>
      </c>
      <c r="S637" s="31">
        <v>0</v>
      </c>
      <c r="T637" s="31">
        <v>0</v>
      </c>
      <c r="U637" s="31">
        <v>0</v>
      </c>
      <c r="V637" s="31">
        <v>0</v>
      </c>
      <c r="W637" s="31">
        <v>0</v>
      </c>
      <c r="X637" s="31">
        <v>0</v>
      </c>
      <c r="Y637" s="31">
        <v>0</v>
      </c>
      <c r="Z637" s="31">
        <v>0</v>
      </c>
      <c r="AA637" s="31">
        <v>0</v>
      </c>
      <c r="AB637" s="31">
        <v>0</v>
      </c>
      <c r="AC637" s="31">
        <v>0</v>
      </c>
      <c r="AD637" s="31">
        <v>100000</v>
      </c>
      <c r="AE637" s="31">
        <v>0</v>
      </c>
      <c r="AF637" s="34">
        <v>2021</v>
      </c>
      <c r="AG637" s="34" t="s">
        <v>274</v>
      </c>
      <c r="AH637" s="35" t="s">
        <v>274</v>
      </c>
      <c r="BZ637" s="71"/>
      <c r="CD637" s="20" t="e">
        <f t="shared" si="125"/>
        <v>#N/A</v>
      </c>
    </row>
    <row r="638" spans="1:82" ht="61.5" x14ac:dyDescent="0.85">
      <c r="A638" s="20">
        <v>1</v>
      </c>
      <c r="B638" s="66">
        <f>SUBTOTAL(103,$A$554:A638)</f>
        <v>85</v>
      </c>
      <c r="C638" s="24" t="s">
        <v>1683</v>
      </c>
      <c r="D638" s="31">
        <f t="shared" si="121"/>
        <v>100000</v>
      </c>
      <c r="E638" s="31">
        <v>0</v>
      </c>
      <c r="F638" s="31">
        <v>0</v>
      </c>
      <c r="G638" s="31">
        <v>0</v>
      </c>
      <c r="H638" s="31">
        <v>0</v>
      </c>
      <c r="I638" s="31">
        <v>0</v>
      </c>
      <c r="J638" s="31">
        <v>0</v>
      </c>
      <c r="K638" s="33">
        <v>0</v>
      </c>
      <c r="L638" s="31">
        <v>0</v>
      </c>
      <c r="M638" s="31">
        <v>0</v>
      </c>
      <c r="N638" s="31">
        <v>0</v>
      </c>
      <c r="O638" s="31">
        <v>0</v>
      </c>
      <c r="P638" s="31">
        <v>0</v>
      </c>
      <c r="Q638" s="31">
        <v>0</v>
      </c>
      <c r="R638" s="31">
        <v>0</v>
      </c>
      <c r="S638" s="31">
        <v>0</v>
      </c>
      <c r="T638" s="31">
        <v>0</v>
      </c>
      <c r="U638" s="31">
        <v>0</v>
      </c>
      <c r="V638" s="31">
        <v>0</v>
      </c>
      <c r="W638" s="31">
        <v>0</v>
      </c>
      <c r="X638" s="31">
        <v>0</v>
      </c>
      <c r="Y638" s="31">
        <v>0</v>
      </c>
      <c r="Z638" s="31">
        <v>0</v>
      </c>
      <c r="AA638" s="31">
        <v>0</v>
      </c>
      <c r="AB638" s="31">
        <v>0</v>
      </c>
      <c r="AC638" s="31">
        <v>0</v>
      </c>
      <c r="AD638" s="31">
        <v>100000</v>
      </c>
      <c r="AE638" s="31">
        <v>0</v>
      </c>
      <c r="AF638" s="34">
        <v>2021</v>
      </c>
      <c r="AG638" s="34" t="s">
        <v>274</v>
      </c>
      <c r="AH638" s="35" t="s">
        <v>274</v>
      </c>
      <c r="BZ638" s="71"/>
      <c r="CD638" s="20" t="e">
        <f t="shared" si="125"/>
        <v>#N/A</v>
      </c>
    </row>
    <row r="639" spans="1:82" ht="61.5" x14ac:dyDescent="0.85">
      <c r="A639" s="20">
        <v>1</v>
      </c>
      <c r="B639" s="66">
        <f>SUBTOTAL(103,$A$554:A639)</f>
        <v>86</v>
      </c>
      <c r="C639" s="24" t="s">
        <v>588</v>
      </c>
      <c r="D639" s="31">
        <f t="shared" si="121"/>
        <v>100000</v>
      </c>
      <c r="E639" s="31">
        <v>0</v>
      </c>
      <c r="F639" s="31">
        <v>0</v>
      </c>
      <c r="G639" s="31">
        <v>0</v>
      </c>
      <c r="H639" s="31">
        <v>0</v>
      </c>
      <c r="I639" s="31">
        <v>0</v>
      </c>
      <c r="J639" s="31">
        <v>0</v>
      </c>
      <c r="K639" s="33">
        <v>0</v>
      </c>
      <c r="L639" s="31">
        <v>0</v>
      </c>
      <c r="M639" s="31">
        <v>0</v>
      </c>
      <c r="N639" s="31">
        <v>0</v>
      </c>
      <c r="O639" s="31">
        <v>0</v>
      </c>
      <c r="P639" s="31">
        <v>0</v>
      </c>
      <c r="Q639" s="31">
        <v>0</v>
      </c>
      <c r="R639" s="31">
        <v>0</v>
      </c>
      <c r="S639" s="31">
        <v>0</v>
      </c>
      <c r="T639" s="31">
        <v>0</v>
      </c>
      <c r="U639" s="31">
        <v>0</v>
      </c>
      <c r="V639" s="31">
        <v>0</v>
      </c>
      <c r="W639" s="31">
        <v>0</v>
      </c>
      <c r="X639" s="31">
        <v>0</v>
      </c>
      <c r="Y639" s="31">
        <v>0</v>
      </c>
      <c r="Z639" s="31">
        <v>0</v>
      </c>
      <c r="AA639" s="31">
        <v>0</v>
      </c>
      <c r="AB639" s="31">
        <v>0</v>
      </c>
      <c r="AC639" s="31">
        <v>0</v>
      </c>
      <c r="AD639" s="31">
        <v>100000</v>
      </c>
      <c r="AE639" s="31">
        <v>0</v>
      </c>
      <c r="AF639" s="34">
        <v>2021</v>
      </c>
      <c r="AG639" s="34" t="s">
        <v>274</v>
      </c>
      <c r="AH639" s="35" t="s">
        <v>274</v>
      </c>
      <c r="BZ639" s="71"/>
      <c r="CD639" s="20" t="e">
        <f t="shared" si="125"/>
        <v>#N/A</v>
      </c>
    </row>
    <row r="640" spans="1:82" ht="61.5" x14ac:dyDescent="0.85">
      <c r="A640" s="20">
        <v>1</v>
      </c>
      <c r="B640" s="66">
        <f>SUBTOTAL(103,$A$554:A640)</f>
        <v>87</v>
      </c>
      <c r="C640" s="24" t="s">
        <v>589</v>
      </c>
      <c r="D640" s="31">
        <f t="shared" si="121"/>
        <v>100000</v>
      </c>
      <c r="E640" s="31">
        <v>0</v>
      </c>
      <c r="F640" s="31">
        <v>0</v>
      </c>
      <c r="G640" s="31">
        <v>0</v>
      </c>
      <c r="H640" s="31">
        <v>0</v>
      </c>
      <c r="I640" s="31">
        <v>0</v>
      </c>
      <c r="J640" s="31">
        <v>0</v>
      </c>
      <c r="K640" s="33">
        <v>0</v>
      </c>
      <c r="L640" s="31">
        <v>0</v>
      </c>
      <c r="M640" s="31">
        <v>0</v>
      </c>
      <c r="N640" s="31">
        <v>0</v>
      </c>
      <c r="O640" s="31">
        <v>0</v>
      </c>
      <c r="P640" s="31">
        <v>0</v>
      </c>
      <c r="Q640" s="31">
        <v>0</v>
      </c>
      <c r="R640" s="31">
        <v>0</v>
      </c>
      <c r="S640" s="31">
        <v>0</v>
      </c>
      <c r="T640" s="31">
        <v>0</v>
      </c>
      <c r="U640" s="31">
        <v>0</v>
      </c>
      <c r="V640" s="31">
        <v>0</v>
      </c>
      <c r="W640" s="31">
        <v>0</v>
      </c>
      <c r="X640" s="31">
        <v>0</v>
      </c>
      <c r="Y640" s="31">
        <v>0</v>
      </c>
      <c r="Z640" s="31">
        <v>0</v>
      </c>
      <c r="AA640" s="31">
        <v>0</v>
      </c>
      <c r="AB640" s="31">
        <v>0</v>
      </c>
      <c r="AC640" s="31">
        <v>0</v>
      </c>
      <c r="AD640" s="31">
        <v>100000</v>
      </c>
      <c r="AE640" s="31">
        <v>0</v>
      </c>
      <c r="AF640" s="34">
        <v>2021</v>
      </c>
      <c r="AG640" s="34" t="s">
        <v>274</v>
      </c>
      <c r="AH640" s="35" t="s">
        <v>274</v>
      </c>
      <c r="BZ640" s="71"/>
      <c r="CD640" s="20" t="e">
        <f t="shared" si="125"/>
        <v>#N/A</v>
      </c>
    </row>
    <row r="641" spans="1:82" ht="61.5" x14ac:dyDescent="0.85">
      <c r="A641" s="20">
        <v>1</v>
      </c>
      <c r="B641" s="66">
        <f>SUBTOTAL(103,$A$554:A641)</f>
        <v>88</v>
      </c>
      <c r="C641" s="24" t="s">
        <v>590</v>
      </c>
      <c r="D641" s="31">
        <f t="shared" si="121"/>
        <v>100000</v>
      </c>
      <c r="E641" s="31">
        <v>0</v>
      </c>
      <c r="F641" s="31">
        <v>0</v>
      </c>
      <c r="G641" s="31">
        <v>0</v>
      </c>
      <c r="H641" s="31">
        <v>0</v>
      </c>
      <c r="I641" s="31">
        <v>0</v>
      </c>
      <c r="J641" s="31">
        <v>0</v>
      </c>
      <c r="K641" s="33">
        <v>0</v>
      </c>
      <c r="L641" s="31">
        <v>0</v>
      </c>
      <c r="M641" s="31">
        <v>0</v>
      </c>
      <c r="N641" s="31">
        <v>0</v>
      </c>
      <c r="O641" s="31">
        <v>0</v>
      </c>
      <c r="P641" s="31">
        <v>0</v>
      </c>
      <c r="Q641" s="31">
        <v>0</v>
      </c>
      <c r="R641" s="31">
        <v>0</v>
      </c>
      <c r="S641" s="31">
        <v>0</v>
      </c>
      <c r="T641" s="31">
        <v>0</v>
      </c>
      <c r="U641" s="31">
        <v>0</v>
      </c>
      <c r="V641" s="31">
        <v>0</v>
      </c>
      <c r="W641" s="31">
        <v>0</v>
      </c>
      <c r="X641" s="31">
        <v>0</v>
      </c>
      <c r="Y641" s="31">
        <v>0</v>
      </c>
      <c r="Z641" s="31">
        <v>0</v>
      </c>
      <c r="AA641" s="31">
        <v>0</v>
      </c>
      <c r="AB641" s="31">
        <v>0</v>
      </c>
      <c r="AC641" s="31">
        <v>0</v>
      </c>
      <c r="AD641" s="31">
        <v>100000</v>
      </c>
      <c r="AE641" s="31">
        <v>0</v>
      </c>
      <c r="AF641" s="34">
        <v>2021</v>
      </c>
      <c r="AG641" s="34" t="s">
        <v>274</v>
      </c>
      <c r="AH641" s="35" t="s">
        <v>274</v>
      </c>
      <c r="BZ641" s="71"/>
      <c r="CD641" s="20" t="e">
        <f t="shared" si="125"/>
        <v>#N/A</v>
      </c>
    </row>
    <row r="642" spans="1:82" ht="61.5" x14ac:dyDescent="0.85">
      <c r="A642" s="20">
        <v>1</v>
      </c>
      <c r="B642" s="66">
        <f>SUBTOTAL(103,$A$554:A642)</f>
        <v>89</v>
      </c>
      <c r="C642" s="24" t="s">
        <v>591</v>
      </c>
      <c r="D642" s="31">
        <f t="shared" si="121"/>
        <v>100000</v>
      </c>
      <c r="E642" s="31">
        <v>0</v>
      </c>
      <c r="F642" s="31">
        <v>0</v>
      </c>
      <c r="G642" s="31">
        <v>0</v>
      </c>
      <c r="H642" s="31">
        <v>0</v>
      </c>
      <c r="I642" s="31">
        <v>0</v>
      </c>
      <c r="J642" s="31">
        <v>0</v>
      </c>
      <c r="K642" s="33">
        <v>0</v>
      </c>
      <c r="L642" s="31">
        <v>0</v>
      </c>
      <c r="M642" s="31">
        <v>0</v>
      </c>
      <c r="N642" s="31">
        <v>0</v>
      </c>
      <c r="O642" s="31">
        <v>0</v>
      </c>
      <c r="P642" s="31">
        <v>0</v>
      </c>
      <c r="Q642" s="31">
        <v>0</v>
      </c>
      <c r="R642" s="31">
        <v>0</v>
      </c>
      <c r="S642" s="31">
        <v>0</v>
      </c>
      <c r="T642" s="31">
        <v>0</v>
      </c>
      <c r="U642" s="31">
        <v>0</v>
      </c>
      <c r="V642" s="31">
        <v>0</v>
      </c>
      <c r="W642" s="31">
        <v>0</v>
      </c>
      <c r="X642" s="31">
        <v>0</v>
      </c>
      <c r="Y642" s="31">
        <v>0</v>
      </c>
      <c r="Z642" s="31">
        <v>0</v>
      </c>
      <c r="AA642" s="31">
        <v>0</v>
      </c>
      <c r="AB642" s="31">
        <v>0</v>
      </c>
      <c r="AC642" s="31">
        <v>0</v>
      </c>
      <c r="AD642" s="31">
        <v>100000</v>
      </c>
      <c r="AE642" s="31">
        <v>0</v>
      </c>
      <c r="AF642" s="34">
        <v>2021</v>
      </c>
      <c r="AG642" s="34" t="s">
        <v>274</v>
      </c>
      <c r="AH642" s="35" t="s">
        <v>274</v>
      </c>
      <c r="BZ642" s="71"/>
      <c r="CD642" s="20" t="e">
        <f t="shared" si="125"/>
        <v>#N/A</v>
      </c>
    </row>
    <row r="643" spans="1:82" ht="61.5" x14ac:dyDescent="0.85">
      <c r="A643" s="20">
        <v>1</v>
      </c>
      <c r="B643" s="66">
        <f>SUBTOTAL(103,$A$554:A643)</f>
        <v>90</v>
      </c>
      <c r="C643" s="24" t="s">
        <v>592</v>
      </c>
      <c r="D643" s="31">
        <f t="shared" si="121"/>
        <v>99900</v>
      </c>
      <c r="E643" s="31">
        <v>0</v>
      </c>
      <c r="F643" s="31">
        <v>0</v>
      </c>
      <c r="G643" s="31">
        <v>0</v>
      </c>
      <c r="H643" s="31">
        <v>0</v>
      </c>
      <c r="I643" s="31">
        <v>0</v>
      </c>
      <c r="J643" s="31">
        <v>0</v>
      </c>
      <c r="K643" s="33">
        <v>0</v>
      </c>
      <c r="L643" s="31">
        <v>0</v>
      </c>
      <c r="M643" s="31">
        <v>0</v>
      </c>
      <c r="N643" s="31">
        <v>0</v>
      </c>
      <c r="O643" s="31">
        <v>0</v>
      </c>
      <c r="P643" s="31">
        <v>0</v>
      </c>
      <c r="Q643" s="31">
        <v>0</v>
      </c>
      <c r="R643" s="31">
        <v>0</v>
      </c>
      <c r="S643" s="31">
        <v>0</v>
      </c>
      <c r="T643" s="31">
        <v>0</v>
      </c>
      <c r="U643" s="31">
        <v>0</v>
      </c>
      <c r="V643" s="31">
        <v>0</v>
      </c>
      <c r="W643" s="31">
        <v>0</v>
      </c>
      <c r="X643" s="31">
        <v>0</v>
      </c>
      <c r="Y643" s="31">
        <v>0</v>
      </c>
      <c r="Z643" s="31">
        <v>0</v>
      </c>
      <c r="AA643" s="31">
        <v>0</v>
      </c>
      <c r="AB643" s="31">
        <v>0</v>
      </c>
      <c r="AC643" s="31">
        <v>0</v>
      </c>
      <c r="AD643" s="31">
        <v>99900</v>
      </c>
      <c r="AE643" s="31">
        <v>0</v>
      </c>
      <c r="AF643" s="34">
        <v>2021</v>
      </c>
      <c r="AG643" s="34" t="s">
        <v>274</v>
      </c>
      <c r="AH643" s="35" t="s">
        <v>274</v>
      </c>
      <c r="BZ643" s="71"/>
      <c r="CD643" s="20" t="e">
        <f t="shared" si="125"/>
        <v>#N/A</v>
      </c>
    </row>
    <row r="644" spans="1:82" ht="61.5" x14ac:dyDescent="0.85">
      <c r="A644" s="20">
        <v>1</v>
      </c>
      <c r="B644" s="66">
        <f>SUBTOTAL(103,$A$554:A644)</f>
        <v>91</v>
      </c>
      <c r="C644" s="24" t="s">
        <v>1684</v>
      </c>
      <c r="D644" s="31">
        <f t="shared" si="121"/>
        <v>100000</v>
      </c>
      <c r="E644" s="31">
        <v>0</v>
      </c>
      <c r="F644" s="31">
        <v>0</v>
      </c>
      <c r="G644" s="31">
        <v>0</v>
      </c>
      <c r="H644" s="31">
        <v>0</v>
      </c>
      <c r="I644" s="31">
        <v>0</v>
      </c>
      <c r="J644" s="31">
        <v>0</v>
      </c>
      <c r="K644" s="33">
        <v>0</v>
      </c>
      <c r="L644" s="31">
        <v>0</v>
      </c>
      <c r="M644" s="31">
        <v>0</v>
      </c>
      <c r="N644" s="31">
        <v>0</v>
      </c>
      <c r="O644" s="31">
        <v>0</v>
      </c>
      <c r="P644" s="31">
        <v>0</v>
      </c>
      <c r="Q644" s="31">
        <v>0</v>
      </c>
      <c r="R644" s="31">
        <v>0</v>
      </c>
      <c r="S644" s="31">
        <v>0</v>
      </c>
      <c r="T644" s="31">
        <v>0</v>
      </c>
      <c r="U644" s="31">
        <v>0</v>
      </c>
      <c r="V644" s="31">
        <v>0</v>
      </c>
      <c r="W644" s="31">
        <v>0</v>
      </c>
      <c r="X644" s="31">
        <v>0</v>
      </c>
      <c r="Y644" s="31">
        <v>0</v>
      </c>
      <c r="Z644" s="31">
        <v>0</v>
      </c>
      <c r="AA644" s="31">
        <v>0</v>
      </c>
      <c r="AB644" s="31">
        <v>0</v>
      </c>
      <c r="AC644" s="31">
        <v>0</v>
      </c>
      <c r="AD644" s="31">
        <v>100000</v>
      </c>
      <c r="AE644" s="31">
        <v>0</v>
      </c>
      <c r="AF644" s="34">
        <v>2021</v>
      </c>
      <c r="AG644" s="34" t="s">
        <v>274</v>
      </c>
      <c r="AH644" s="35" t="s">
        <v>274</v>
      </c>
      <c r="BZ644" s="71"/>
      <c r="CD644" s="20" t="e">
        <f t="shared" si="125"/>
        <v>#N/A</v>
      </c>
    </row>
    <row r="645" spans="1:82" ht="61.5" x14ac:dyDescent="0.85">
      <c r="A645" s="20">
        <v>1</v>
      </c>
      <c r="B645" s="66">
        <f>SUBTOTAL(103,$A$554:A645)</f>
        <v>92</v>
      </c>
      <c r="C645" s="24" t="s">
        <v>593</v>
      </c>
      <c r="D645" s="31">
        <f t="shared" si="121"/>
        <v>100000</v>
      </c>
      <c r="E645" s="31">
        <v>0</v>
      </c>
      <c r="F645" s="31">
        <v>0</v>
      </c>
      <c r="G645" s="31">
        <v>0</v>
      </c>
      <c r="H645" s="31">
        <v>0</v>
      </c>
      <c r="I645" s="31">
        <v>0</v>
      </c>
      <c r="J645" s="31">
        <v>0</v>
      </c>
      <c r="K645" s="33">
        <v>0</v>
      </c>
      <c r="L645" s="31">
        <v>0</v>
      </c>
      <c r="M645" s="31">
        <v>0</v>
      </c>
      <c r="N645" s="31">
        <v>0</v>
      </c>
      <c r="O645" s="31">
        <v>0</v>
      </c>
      <c r="P645" s="31">
        <v>0</v>
      </c>
      <c r="Q645" s="31">
        <v>0</v>
      </c>
      <c r="R645" s="31">
        <v>0</v>
      </c>
      <c r="S645" s="31">
        <v>0</v>
      </c>
      <c r="T645" s="31">
        <v>0</v>
      </c>
      <c r="U645" s="31">
        <v>0</v>
      </c>
      <c r="V645" s="31">
        <v>0</v>
      </c>
      <c r="W645" s="31">
        <v>0</v>
      </c>
      <c r="X645" s="31">
        <v>0</v>
      </c>
      <c r="Y645" s="31">
        <v>0</v>
      </c>
      <c r="Z645" s="31">
        <v>0</v>
      </c>
      <c r="AA645" s="31">
        <v>0</v>
      </c>
      <c r="AB645" s="31">
        <v>0</v>
      </c>
      <c r="AC645" s="31">
        <v>0</v>
      </c>
      <c r="AD645" s="31">
        <v>100000</v>
      </c>
      <c r="AE645" s="31">
        <v>0</v>
      </c>
      <c r="AF645" s="34">
        <v>2021</v>
      </c>
      <c r="AG645" s="34" t="s">
        <v>274</v>
      </c>
      <c r="AH645" s="35" t="s">
        <v>274</v>
      </c>
      <c r="BZ645" s="71"/>
      <c r="CD645" s="20" t="e">
        <f t="shared" si="125"/>
        <v>#N/A</v>
      </c>
    </row>
    <row r="646" spans="1:82" ht="61.5" x14ac:dyDescent="0.85">
      <c r="A646" s="20">
        <v>1</v>
      </c>
      <c r="B646" s="66">
        <f>SUBTOTAL(103,$A$554:A646)</f>
        <v>93</v>
      </c>
      <c r="C646" s="24" t="s">
        <v>594</v>
      </c>
      <c r="D646" s="31">
        <f t="shared" si="121"/>
        <v>100000</v>
      </c>
      <c r="E646" s="31">
        <v>0</v>
      </c>
      <c r="F646" s="31">
        <v>0</v>
      </c>
      <c r="G646" s="31">
        <v>0</v>
      </c>
      <c r="H646" s="31">
        <v>0</v>
      </c>
      <c r="I646" s="31">
        <v>0</v>
      </c>
      <c r="J646" s="31">
        <v>0</v>
      </c>
      <c r="K646" s="33">
        <v>0</v>
      </c>
      <c r="L646" s="31">
        <v>0</v>
      </c>
      <c r="M646" s="31">
        <v>0</v>
      </c>
      <c r="N646" s="31">
        <v>0</v>
      </c>
      <c r="O646" s="31">
        <v>0</v>
      </c>
      <c r="P646" s="31">
        <v>0</v>
      </c>
      <c r="Q646" s="31">
        <v>0</v>
      </c>
      <c r="R646" s="31">
        <v>0</v>
      </c>
      <c r="S646" s="31">
        <v>0</v>
      </c>
      <c r="T646" s="31">
        <v>0</v>
      </c>
      <c r="U646" s="31">
        <v>0</v>
      </c>
      <c r="V646" s="31">
        <v>0</v>
      </c>
      <c r="W646" s="31">
        <v>0</v>
      </c>
      <c r="X646" s="31">
        <v>0</v>
      </c>
      <c r="Y646" s="31">
        <v>0</v>
      </c>
      <c r="Z646" s="31">
        <v>0</v>
      </c>
      <c r="AA646" s="31">
        <v>0</v>
      </c>
      <c r="AB646" s="31">
        <v>0</v>
      </c>
      <c r="AC646" s="31">
        <v>0</v>
      </c>
      <c r="AD646" s="31">
        <v>100000</v>
      </c>
      <c r="AE646" s="31">
        <v>0</v>
      </c>
      <c r="AF646" s="34">
        <v>2021</v>
      </c>
      <c r="AG646" s="34" t="s">
        <v>274</v>
      </c>
      <c r="AH646" s="35" t="s">
        <v>274</v>
      </c>
      <c r="BZ646" s="71"/>
      <c r="CD646" s="20" t="e">
        <f t="shared" si="125"/>
        <v>#N/A</v>
      </c>
    </row>
    <row r="647" spans="1:82" ht="61.5" x14ac:dyDescent="0.85">
      <c r="A647" s="20">
        <v>1</v>
      </c>
      <c r="B647" s="66">
        <f>SUBTOTAL(103,$A$554:A647)</f>
        <v>94</v>
      </c>
      <c r="C647" s="24" t="s">
        <v>595</v>
      </c>
      <c r="D647" s="31">
        <f t="shared" si="121"/>
        <v>100000</v>
      </c>
      <c r="E647" s="31">
        <v>0</v>
      </c>
      <c r="F647" s="31">
        <v>0</v>
      </c>
      <c r="G647" s="31">
        <v>0</v>
      </c>
      <c r="H647" s="31">
        <v>0</v>
      </c>
      <c r="I647" s="31">
        <v>0</v>
      </c>
      <c r="J647" s="31">
        <v>0</v>
      </c>
      <c r="K647" s="33">
        <v>0</v>
      </c>
      <c r="L647" s="31">
        <v>0</v>
      </c>
      <c r="M647" s="31">
        <v>0</v>
      </c>
      <c r="N647" s="31">
        <v>0</v>
      </c>
      <c r="O647" s="31">
        <v>0</v>
      </c>
      <c r="P647" s="31">
        <v>0</v>
      </c>
      <c r="Q647" s="31">
        <v>0</v>
      </c>
      <c r="R647" s="31">
        <v>0</v>
      </c>
      <c r="S647" s="31">
        <v>0</v>
      </c>
      <c r="T647" s="31">
        <v>0</v>
      </c>
      <c r="U647" s="31">
        <v>0</v>
      </c>
      <c r="V647" s="31">
        <v>0</v>
      </c>
      <c r="W647" s="31">
        <v>0</v>
      </c>
      <c r="X647" s="31">
        <v>0</v>
      </c>
      <c r="Y647" s="31">
        <v>0</v>
      </c>
      <c r="Z647" s="31">
        <v>0</v>
      </c>
      <c r="AA647" s="31">
        <v>0</v>
      </c>
      <c r="AB647" s="31">
        <v>0</v>
      </c>
      <c r="AC647" s="31">
        <v>0</v>
      </c>
      <c r="AD647" s="31">
        <v>100000</v>
      </c>
      <c r="AE647" s="31">
        <v>0</v>
      </c>
      <c r="AF647" s="34">
        <v>2021</v>
      </c>
      <c r="AG647" s="34" t="s">
        <v>274</v>
      </c>
      <c r="AH647" s="35" t="s">
        <v>274</v>
      </c>
      <c r="BZ647" s="71"/>
      <c r="CD647" s="20" t="e">
        <f t="shared" si="125"/>
        <v>#N/A</v>
      </c>
    </row>
    <row r="648" spans="1:82" ht="61.5" x14ac:dyDescent="0.85">
      <c r="A648" s="20">
        <v>1</v>
      </c>
      <c r="B648" s="66">
        <f>SUBTOTAL(103,$A$554:A648)</f>
        <v>95</v>
      </c>
      <c r="C648" s="24" t="s">
        <v>596</v>
      </c>
      <c r="D648" s="31">
        <f t="shared" si="121"/>
        <v>100000</v>
      </c>
      <c r="E648" s="31">
        <v>0</v>
      </c>
      <c r="F648" s="31">
        <v>0</v>
      </c>
      <c r="G648" s="31">
        <v>0</v>
      </c>
      <c r="H648" s="31">
        <v>0</v>
      </c>
      <c r="I648" s="31">
        <v>0</v>
      </c>
      <c r="J648" s="31">
        <v>0</v>
      </c>
      <c r="K648" s="33">
        <v>0</v>
      </c>
      <c r="L648" s="31">
        <v>0</v>
      </c>
      <c r="M648" s="31">
        <v>0</v>
      </c>
      <c r="N648" s="31">
        <v>0</v>
      </c>
      <c r="O648" s="31">
        <v>0</v>
      </c>
      <c r="P648" s="31">
        <v>0</v>
      </c>
      <c r="Q648" s="31">
        <v>0</v>
      </c>
      <c r="R648" s="31">
        <v>0</v>
      </c>
      <c r="S648" s="31">
        <v>0</v>
      </c>
      <c r="T648" s="31">
        <v>0</v>
      </c>
      <c r="U648" s="31">
        <v>0</v>
      </c>
      <c r="V648" s="31">
        <v>0</v>
      </c>
      <c r="W648" s="31">
        <v>0</v>
      </c>
      <c r="X648" s="31">
        <v>0</v>
      </c>
      <c r="Y648" s="31">
        <v>0</v>
      </c>
      <c r="Z648" s="31">
        <v>0</v>
      </c>
      <c r="AA648" s="31">
        <v>0</v>
      </c>
      <c r="AB648" s="31">
        <v>0</v>
      </c>
      <c r="AC648" s="31">
        <v>0</v>
      </c>
      <c r="AD648" s="31">
        <v>100000</v>
      </c>
      <c r="AE648" s="31">
        <v>0</v>
      </c>
      <c r="AF648" s="34">
        <v>2021</v>
      </c>
      <c r="AG648" s="34" t="s">
        <v>274</v>
      </c>
      <c r="AH648" s="35" t="s">
        <v>274</v>
      </c>
      <c r="BZ648" s="71"/>
      <c r="CD648" s="20" t="e">
        <f t="shared" si="125"/>
        <v>#N/A</v>
      </c>
    </row>
    <row r="649" spans="1:82" ht="61.5" x14ac:dyDescent="0.85">
      <c r="A649" s="20">
        <v>1</v>
      </c>
      <c r="B649" s="66">
        <f>SUBTOTAL(103,$A$554:A649)</f>
        <v>96</v>
      </c>
      <c r="C649" s="24" t="s">
        <v>597</v>
      </c>
      <c r="D649" s="31">
        <f t="shared" si="121"/>
        <v>100000</v>
      </c>
      <c r="E649" s="31">
        <v>0</v>
      </c>
      <c r="F649" s="31">
        <v>0</v>
      </c>
      <c r="G649" s="31">
        <v>0</v>
      </c>
      <c r="H649" s="31">
        <v>0</v>
      </c>
      <c r="I649" s="31">
        <v>0</v>
      </c>
      <c r="J649" s="31">
        <v>0</v>
      </c>
      <c r="K649" s="33">
        <v>0</v>
      </c>
      <c r="L649" s="31">
        <v>0</v>
      </c>
      <c r="M649" s="31">
        <v>0</v>
      </c>
      <c r="N649" s="31">
        <v>0</v>
      </c>
      <c r="O649" s="31">
        <v>0</v>
      </c>
      <c r="P649" s="31">
        <v>0</v>
      </c>
      <c r="Q649" s="31">
        <v>0</v>
      </c>
      <c r="R649" s="31">
        <v>0</v>
      </c>
      <c r="S649" s="31">
        <v>0</v>
      </c>
      <c r="T649" s="31">
        <v>0</v>
      </c>
      <c r="U649" s="31">
        <v>0</v>
      </c>
      <c r="V649" s="31">
        <v>0</v>
      </c>
      <c r="W649" s="31">
        <v>0</v>
      </c>
      <c r="X649" s="31">
        <v>0</v>
      </c>
      <c r="Y649" s="31">
        <v>0</v>
      </c>
      <c r="Z649" s="31">
        <v>0</v>
      </c>
      <c r="AA649" s="31">
        <v>0</v>
      </c>
      <c r="AB649" s="31">
        <v>0</v>
      </c>
      <c r="AC649" s="31">
        <v>0</v>
      </c>
      <c r="AD649" s="31">
        <v>100000</v>
      </c>
      <c r="AE649" s="31">
        <v>0</v>
      </c>
      <c r="AF649" s="34">
        <v>2021</v>
      </c>
      <c r="AG649" s="34" t="s">
        <v>274</v>
      </c>
      <c r="AH649" s="35" t="s">
        <v>274</v>
      </c>
      <c r="BZ649" s="71"/>
      <c r="CD649" s="20" t="e">
        <f t="shared" si="125"/>
        <v>#N/A</v>
      </c>
    </row>
    <row r="650" spans="1:82" ht="61.5" x14ac:dyDescent="0.85">
      <c r="A650" s="20">
        <v>1</v>
      </c>
      <c r="B650" s="66">
        <f>SUBTOTAL(103,$A$554:A650)</f>
        <v>97</v>
      </c>
      <c r="C650" s="24" t="s">
        <v>598</v>
      </c>
      <c r="D650" s="31">
        <f t="shared" si="121"/>
        <v>100000</v>
      </c>
      <c r="E650" s="31">
        <v>0</v>
      </c>
      <c r="F650" s="31">
        <v>0</v>
      </c>
      <c r="G650" s="31">
        <v>0</v>
      </c>
      <c r="H650" s="31">
        <v>0</v>
      </c>
      <c r="I650" s="31">
        <v>0</v>
      </c>
      <c r="J650" s="31">
        <v>0</v>
      </c>
      <c r="K650" s="33">
        <v>0</v>
      </c>
      <c r="L650" s="31">
        <v>0</v>
      </c>
      <c r="M650" s="31">
        <v>0</v>
      </c>
      <c r="N650" s="31">
        <v>0</v>
      </c>
      <c r="O650" s="31">
        <v>0</v>
      </c>
      <c r="P650" s="31">
        <v>0</v>
      </c>
      <c r="Q650" s="31">
        <v>0</v>
      </c>
      <c r="R650" s="31">
        <v>0</v>
      </c>
      <c r="S650" s="31">
        <v>0</v>
      </c>
      <c r="T650" s="31">
        <v>0</v>
      </c>
      <c r="U650" s="31">
        <v>0</v>
      </c>
      <c r="V650" s="31">
        <v>0</v>
      </c>
      <c r="W650" s="31">
        <v>0</v>
      </c>
      <c r="X650" s="31">
        <v>0</v>
      </c>
      <c r="Y650" s="31">
        <v>0</v>
      </c>
      <c r="Z650" s="31">
        <v>0</v>
      </c>
      <c r="AA650" s="31">
        <v>0</v>
      </c>
      <c r="AB650" s="31">
        <v>0</v>
      </c>
      <c r="AC650" s="31">
        <v>0</v>
      </c>
      <c r="AD650" s="31">
        <v>100000</v>
      </c>
      <c r="AE650" s="31">
        <v>0</v>
      </c>
      <c r="AF650" s="34">
        <v>2021</v>
      </c>
      <c r="AG650" s="34" t="s">
        <v>274</v>
      </c>
      <c r="AH650" s="35" t="s">
        <v>274</v>
      </c>
      <c r="BZ650" s="71"/>
      <c r="CD650" s="20" t="e">
        <f t="shared" si="125"/>
        <v>#N/A</v>
      </c>
    </row>
    <row r="651" spans="1:82" ht="61.5" x14ac:dyDescent="0.85">
      <c r="A651" s="20">
        <v>1</v>
      </c>
      <c r="B651" s="66">
        <f>SUBTOTAL(103,$A$554:A651)</f>
        <v>98</v>
      </c>
      <c r="C651" s="24" t="s">
        <v>599</v>
      </c>
      <c r="D651" s="31">
        <f t="shared" si="121"/>
        <v>100000</v>
      </c>
      <c r="E651" s="31">
        <v>0</v>
      </c>
      <c r="F651" s="31">
        <v>0</v>
      </c>
      <c r="G651" s="31">
        <v>0</v>
      </c>
      <c r="H651" s="31">
        <v>0</v>
      </c>
      <c r="I651" s="31">
        <v>0</v>
      </c>
      <c r="J651" s="31">
        <v>0</v>
      </c>
      <c r="K651" s="33">
        <v>0</v>
      </c>
      <c r="L651" s="31">
        <v>0</v>
      </c>
      <c r="M651" s="31">
        <v>0</v>
      </c>
      <c r="N651" s="31">
        <v>0</v>
      </c>
      <c r="O651" s="31">
        <v>0</v>
      </c>
      <c r="P651" s="31">
        <v>0</v>
      </c>
      <c r="Q651" s="31">
        <v>0</v>
      </c>
      <c r="R651" s="31">
        <v>0</v>
      </c>
      <c r="S651" s="31">
        <v>0</v>
      </c>
      <c r="T651" s="31">
        <v>0</v>
      </c>
      <c r="U651" s="31">
        <v>0</v>
      </c>
      <c r="V651" s="31">
        <v>0</v>
      </c>
      <c r="W651" s="31">
        <v>0</v>
      </c>
      <c r="X651" s="31">
        <v>0</v>
      </c>
      <c r="Y651" s="31">
        <v>0</v>
      </c>
      <c r="Z651" s="31">
        <v>0</v>
      </c>
      <c r="AA651" s="31">
        <v>0</v>
      </c>
      <c r="AB651" s="31">
        <v>0</v>
      </c>
      <c r="AC651" s="31">
        <v>0</v>
      </c>
      <c r="AD651" s="31">
        <v>100000</v>
      </c>
      <c r="AE651" s="31">
        <v>0</v>
      </c>
      <c r="AF651" s="34">
        <v>2021</v>
      </c>
      <c r="AG651" s="34" t="s">
        <v>274</v>
      </c>
      <c r="AH651" s="35" t="s">
        <v>274</v>
      </c>
      <c r="BZ651" s="71"/>
      <c r="CD651" s="20" t="e">
        <f t="shared" si="125"/>
        <v>#N/A</v>
      </c>
    </row>
    <row r="652" spans="1:82" ht="61.5" x14ac:dyDescent="0.85">
      <c r="A652" s="20">
        <v>1</v>
      </c>
      <c r="B652" s="66">
        <f>SUBTOTAL(103,$A$554:A652)</f>
        <v>99</v>
      </c>
      <c r="C652" s="24" t="s">
        <v>600</v>
      </c>
      <c r="D652" s="31">
        <f t="shared" si="121"/>
        <v>100000</v>
      </c>
      <c r="E652" s="31">
        <v>0</v>
      </c>
      <c r="F652" s="31">
        <v>0</v>
      </c>
      <c r="G652" s="31">
        <v>0</v>
      </c>
      <c r="H652" s="31">
        <v>0</v>
      </c>
      <c r="I652" s="31">
        <v>0</v>
      </c>
      <c r="J652" s="31">
        <v>0</v>
      </c>
      <c r="K652" s="33">
        <v>0</v>
      </c>
      <c r="L652" s="31">
        <v>0</v>
      </c>
      <c r="M652" s="31">
        <v>0</v>
      </c>
      <c r="N652" s="31">
        <v>0</v>
      </c>
      <c r="O652" s="31">
        <v>0</v>
      </c>
      <c r="P652" s="31">
        <v>0</v>
      </c>
      <c r="Q652" s="31">
        <v>0</v>
      </c>
      <c r="R652" s="31">
        <v>0</v>
      </c>
      <c r="S652" s="31">
        <v>0</v>
      </c>
      <c r="T652" s="31">
        <v>0</v>
      </c>
      <c r="U652" s="31">
        <v>0</v>
      </c>
      <c r="V652" s="31">
        <v>0</v>
      </c>
      <c r="W652" s="31">
        <v>0</v>
      </c>
      <c r="X652" s="31">
        <v>0</v>
      </c>
      <c r="Y652" s="31">
        <v>0</v>
      </c>
      <c r="Z652" s="31">
        <v>0</v>
      </c>
      <c r="AA652" s="31">
        <v>0</v>
      </c>
      <c r="AB652" s="31">
        <v>0</v>
      </c>
      <c r="AC652" s="31">
        <v>0</v>
      </c>
      <c r="AD652" s="31">
        <v>100000</v>
      </c>
      <c r="AE652" s="31">
        <v>0</v>
      </c>
      <c r="AF652" s="34">
        <v>2021</v>
      </c>
      <c r="AG652" s="34" t="s">
        <v>274</v>
      </c>
      <c r="AH652" s="35" t="s">
        <v>274</v>
      </c>
      <c r="BZ652" s="71"/>
      <c r="CD652" s="20" t="e">
        <f t="shared" si="125"/>
        <v>#N/A</v>
      </c>
    </row>
    <row r="653" spans="1:82" ht="61.5" x14ac:dyDescent="0.85">
      <c r="A653" s="20">
        <v>1</v>
      </c>
      <c r="B653" s="66">
        <f>SUBTOTAL(103,$A$554:A653)</f>
        <v>100</v>
      </c>
      <c r="C653" s="24" t="s">
        <v>601</v>
      </c>
      <c r="D653" s="31">
        <f t="shared" si="121"/>
        <v>100000</v>
      </c>
      <c r="E653" s="31">
        <v>0</v>
      </c>
      <c r="F653" s="31">
        <v>0</v>
      </c>
      <c r="G653" s="31">
        <v>0</v>
      </c>
      <c r="H653" s="31">
        <v>0</v>
      </c>
      <c r="I653" s="31">
        <v>0</v>
      </c>
      <c r="J653" s="31">
        <v>0</v>
      </c>
      <c r="K653" s="33">
        <v>0</v>
      </c>
      <c r="L653" s="31">
        <v>0</v>
      </c>
      <c r="M653" s="31">
        <v>0</v>
      </c>
      <c r="N653" s="31">
        <v>0</v>
      </c>
      <c r="O653" s="31">
        <v>0</v>
      </c>
      <c r="P653" s="31">
        <v>0</v>
      </c>
      <c r="Q653" s="31">
        <v>0</v>
      </c>
      <c r="R653" s="31">
        <v>0</v>
      </c>
      <c r="S653" s="31">
        <v>0</v>
      </c>
      <c r="T653" s="31">
        <v>0</v>
      </c>
      <c r="U653" s="31">
        <v>0</v>
      </c>
      <c r="V653" s="31">
        <v>0</v>
      </c>
      <c r="W653" s="31">
        <v>0</v>
      </c>
      <c r="X653" s="31">
        <v>0</v>
      </c>
      <c r="Y653" s="31">
        <v>0</v>
      </c>
      <c r="Z653" s="31">
        <v>0</v>
      </c>
      <c r="AA653" s="31">
        <v>0</v>
      </c>
      <c r="AB653" s="31">
        <v>0</v>
      </c>
      <c r="AC653" s="31">
        <v>0</v>
      </c>
      <c r="AD653" s="31">
        <v>100000</v>
      </c>
      <c r="AE653" s="31">
        <v>0</v>
      </c>
      <c r="AF653" s="34">
        <v>2021</v>
      </c>
      <c r="AG653" s="34" t="s">
        <v>274</v>
      </c>
      <c r="AH653" s="35" t="s">
        <v>274</v>
      </c>
      <c r="BZ653" s="71"/>
      <c r="CD653" s="20" t="e">
        <f t="shared" si="125"/>
        <v>#N/A</v>
      </c>
    </row>
    <row r="654" spans="1:82" ht="61.5" x14ac:dyDescent="0.85">
      <c r="A654" s="20">
        <v>1</v>
      </c>
      <c r="B654" s="66">
        <f>SUBTOTAL(103,$A$554:A654)</f>
        <v>101</v>
      </c>
      <c r="C654" s="24" t="s">
        <v>602</v>
      </c>
      <c r="D654" s="31">
        <f t="shared" si="121"/>
        <v>100000</v>
      </c>
      <c r="E654" s="31">
        <v>0</v>
      </c>
      <c r="F654" s="31">
        <v>0</v>
      </c>
      <c r="G654" s="31">
        <v>0</v>
      </c>
      <c r="H654" s="31">
        <v>0</v>
      </c>
      <c r="I654" s="31">
        <v>0</v>
      </c>
      <c r="J654" s="31">
        <v>0</v>
      </c>
      <c r="K654" s="33">
        <v>0</v>
      </c>
      <c r="L654" s="31">
        <v>0</v>
      </c>
      <c r="M654" s="31">
        <v>0</v>
      </c>
      <c r="N654" s="31">
        <v>0</v>
      </c>
      <c r="O654" s="31">
        <v>0</v>
      </c>
      <c r="P654" s="31">
        <v>0</v>
      </c>
      <c r="Q654" s="31">
        <v>0</v>
      </c>
      <c r="R654" s="31">
        <v>0</v>
      </c>
      <c r="S654" s="31">
        <v>0</v>
      </c>
      <c r="T654" s="31">
        <v>0</v>
      </c>
      <c r="U654" s="31">
        <v>0</v>
      </c>
      <c r="V654" s="31">
        <v>0</v>
      </c>
      <c r="W654" s="31">
        <v>0</v>
      </c>
      <c r="X654" s="31">
        <v>0</v>
      </c>
      <c r="Y654" s="31">
        <v>0</v>
      </c>
      <c r="Z654" s="31">
        <v>0</v>
      </c>
      <c r="AA654" s="31">
        <v>0</v>
      </c>
      <c r="AB654" s="31">
        <v>0</v>
      </c>
      <c r="AC654" s="31">
        <v>0</v>
      </c>
      <c r="AD654" s="31">
        <v>100000</v>
      </c>
      <c r="AE654" s="31">
        <v>0</v>
      </c>
      <c r="AF654" s="34">
        <v>2021</v>
      </c>
      <c r="AG654" s="34" t="s">
        <v>274</v>
      </c>
      <c r="AH654" s="35" t="s">
        <v>274</v>
      </c>
      <c r="BZ654" s="71"/>
      <c r="CD654" s="20" t="e">
        <f t="shared" si="125"/>
        <v>#N/A</v>
      </c>
    </row>
    <row r="655" spans="1:82" ht="61.5" x14ac:dyDescent="0.85">
      <c r="A655" s="20">
        <v>1</v>
      </c>
      <c r="B655" s="66">
        <f>SUBTOTAL(103,$A$554:A655)</f>
        <v>102</v>
      </c>
      <c r="C655" s="24" t="s">
        <v>1685</v>
      </c>
      <c r="D655" s="31">
        <f t="shared" si="121"/>
        <v>100000</v>
      </c>
      <c r="E655" s="31">
        <v>0</v>
      </c>
      <c r="F655" s="31">
        <v>0</v>
      </c>
      <c r="G655" s="31">
        <v>0</v>
      </c>
      <c r="H655" s="31">
        <v>0</v>
      </c>
      <c r="I655" s="31">
        <v>0</v>
      </c>
      <c r="J655" s="31">
        <v>0</v>
      </c>
      <c r="K655" s="33">
        <v>0</v>
      </c>
      <c r="L655" s="31">
        <v>0</v>
      </c>
      <c r="M655" s="31">
        <v>0</v>
      </c>
      <c r="N655" s="31">
        <v>0</v>
      </c>
      <c r="O655" s="31">
        <v>0</v>
      </c>
      <c r="P655" s="31">
        <v>0</v>
      </c>
      <c r="Q655" s="31">
        <v>0</v>
      </c>
      <c r="R655" s="31">
        <v>0</v>
      </c>
      <c r="S655" s="31">
        <v>0</v>
      </c>
      <c r="T655" s="31">
        <v>0</v>
      </c>
      <c r="U655" s="31">
        <v>0</v>
      </c>
      <c r="V655" s="31">
        <v>0</v>
      </c>
      <c r="W655" s="31">
        <v>0</v>
      </c>
      <c r="X655" s="31">
        <v>0</v>
      </c>
      <c r="Y655" s="31">
        <v>0</v>
      </c>
      <c r="Z655" s="31">
        <v>0</v>
      </c>
      <c r="AA655" s="31">
        <v>0</v>
      </c>
      <c r="AB655" s="31">
        <v>0</v>
      </c>
      <c r="AC655" s="31">
        <v>0</v>
      </c>
      <c r="AD655" s="31">
        <v>100000</v>
      </c>
      <c r="AE655" s="31">
        <v>0</v>
      </c>
      <c r="AF655" s="34">
        <v>2021</v>
      </c>
      <c r="AG655" s="34" t="s">
        <v>274</v>
      </c>
      <c r="AH655" s="35" t="s">
        <v>274</v>
      </c>
      <c r="BZ655" s="71"/>
      <c r="CD655" s="20" t="e">
        <f t="shared" si="125"/>
        <v>#N/A</v>
      </c>
    </row>
    <row r="656" spans="1:82" ht="61.5" x14ac:dyDescent="0.85">
      <c r="A656" s="20">
        <v>1</v>
      </c>
      <c r="B656" s="66">
        <f>SUBTOTAL(103,$A$554:A656)</f>
        <v>103</v>
      </c>
      <c r="C656" s="24" t="s">
        <v>1686</v>
      </c>
      <c r="D656" s="31">
        <f t="shared" si="121"/>
        <v>100000</v>
      </c>
      <c r="E656" s="31">
        <v>0</v>
      </c>
      <c r="F656" s="31">
        <v>0</v>
      </c>
      <c r="G656" s="31">
        <v>0</v>
      </c>
      <c r="H656" s="31">
        <v>0</v>
      </c>
      <c r="I656" s="31">
        <v>0</v>
      </c>
      <c r="J656" s="31">
        <v>0</v>
      </c>
      <c r="K656" s="33">
        <v>0</v>
      </c>
      <c r="L656" s="31">
        <v>0</v>
      </c>
      <c r="M656" s="31">
        <v>0</v>
      </c>
      <c r="N656" s="31">
        <v>0</v>
      </c>
      <c r="O656" s="31">
        <v>0</v>
      </c>
      <c r="P656" s="31">
        <v>0</v>
      </c>
      <c r="Q656" s="31">
        <v>0</v>
      </c>
      <c r="R656" s="31">
        <v>0</v>
      </c>
      <c r="S656" s="31">
        <v>0</v>
      </c>
      <c r="T656" s="31">
        <v>0</v>
      </c>
      <c r="U656" s="31">
        <v>0</v>
      </c>
      <c r="V656" s="31">
        <v>0</v>
      </c>
      <c r="W656" s="31">
        <v>0</v>
      </c>
      <c r="X656" s="31">
        <v>0</v>
      </c>
      <c r="Y656" s="31">
        <v>0</v>
      </c>
      <c r="Z656" s="31">
        <v>0</v>
      </c>
      <c r="AA656" s="31">
        <v>0</v>
      </c>
      <c r="AB656" s="31">
        <v>0</v>
      </c>
      <c r="AC656" s="31">
        <v>0</v>
      </c>
      <c r="AD656" s="31">
        <v>100000</v>
      </c>
      <c r="AE656" s="31">
        <v>0</v>
      </c>
      <c r="AF656" s="34">
        <v>2021</v>
      </c>
      <c r="AG656" s="34" t="s">
        <v>274</v>
      </c>
      <c r="AH656" s="35" t="s">
        <v>274</v>
      </c>
      <c r="BZ656" s="71"/>
      <c r="CD656" s="20" t="e">
        <f t="shared" si="125"/>
        <v>#N/A</v>
      </c>
    </row>
    <row r="657" spans="1:82" ht="61.5" x14ac:dyDescent="0.85">
      <c r="A657" s="20">
        <v>1</v>
      </c>
      <c r="B657" s="66">
        <f>SUBTOTAL(103,$A$554:A657)</f>
        <v>104</v>
      </c>
      <c r="C657" s="24" t="s">
        <v>603</v>
      </c>
      <c r="D657" s="31">
        <f t="shared" si="121"/>
        <v>100000</v>
      </c>
      <c r="E657" s="31">
        <v>0</v>
      </c>
      <c r="F657" s="31">
        <v>0</v>
      </c>
      <c r="G657" s="31">
        <v>0</v>
      </c>
      <c r="H657" s="31">
        <v>0</v>
      </c>
      <c r="I657" s="31">
        <v>0</v>
      </c>
      <c r="J657" s="31">
        <v>0</v>
      </c>
      <c r="K657" s="33">
        <v>0</v>
      </c>
      <c r="L657" s="31">
        <v>0</v>
      </c>
      <c r="M657" s="31">
        <v>0</v>
      </c>
      <c r="N657" s="31">
        <v>0</v>
      </c>
      <c r="O657" s="31">
        <v>0</v>
      </c>
      <c r="P657" s="31">
        <v>0</v>
      </c>
      <c r="Q657" s="31">
        <v>0</v>
      </c>
      <c r="R657" s="31">
        <v>0</v>
      </c>
      <c r="S657" s="31">
        <v>0</v>
      </c>
      <c r="T657" s="31">
        <v>0</v>
      </c>
      <c r="U657" s="31">
        <v>0</v>
      </c>
      <c r="V657" s="31">
        <v>0</v>
      </c>
      <c r="W657" s="31">
        <v>0</v>
      </c>
      <c r="X657" s="31">
        <v>0</v>
      </c>
      <c r="Y657" s="31">
        <v>0</v>
      </c>
      <c r="Z657" s="31">
        <v>0</v>
      </c>
      <c r="AA657" s="31">
        <v>0</v>
      </c>
      <c r="AB657" s="31">
        <v>0</v>
      </c>
      <c r="AC657" s="31">
        <v>0</v>
      </c>
      <c r="AD657" s="31">
        <v>100000</v>
      </c>
      <c r="AE657" s="31">
        <v>0</v>
      </c>
      <c r="AF657" s="34">
        <v>2021</v>
      </c>
      <c r="AG657" s="34" t="s">
        <v>274</v>
      </c>
      <c r="AH657" s="35" t="s">
        <v>274</v>
      </c>
      <c r="BZ657" s="71"/>
      <c r="CD657" s="20" t="e">
        <f t="shared" si="125"/>
        <v>#N/A</v>
      </c>
    </row>
    <row r="658" spans="1:82" ht="61.5" x14ac:dyDescent="0.85">
      <c r="A658" s="20">
        <v>1</v>
      </c>
      <c r="B658" s="66">
        <f>SUBTOTAL(103,$A$554:A658)</f>
        <v>105</v>
      </c>
      <c r="C658" s="24" t="s">
        <v>604</v>
      </c>
      <c r="D658" s="31">
        <f t="shared" si="121"/>
        <v>100000</v>
      </c>
      <c r="E658" s="31">
        <v>0</v>
      </c>
      <c r="F658" s="31">
        <v>0</v>
      </c>
      <c r="G658" s="31">
        <v>0</v>
      </c>
      <c r="H658" s="31">
        <v>0</v>
      </c>
      <c r="I658" s="31">
        <v>0</v>
      </c>
      <c r="J658" s="31">
        <v>0</v>
      </c>
      <c r="K658" s="33">
        <v>0</v>
      </c>
      <c r="L658" s="31">
        <v>0</v>
      </c>
      <c r="M658" s="31">
        <v>0</v>
      </c>
      <c r="N658" s="31">
        <v>0</v>
      </c>
      <c r="O658" s="31">
        <v>0</v>
      </c>
      <c r="P658" s="31">
        <v>0</v>
      </c>
      <c r="Q658" s="31">
        <v>0</v>
      </c>
      <c r="R658" s="31">
        <v>0</v>
      </c>
      <c r="S658" s="31">
        <v>0</v>
      </c>
      <c r="T658" s="31">
        <v>0</v>
      </c>
      <c r="U658" s="31">
        <v>0</v>
      </c>
      <c r="V658" s="31">
        <v>0</v>
      </c>
      <c r="W658" s="31">
        <v>0</v>
      </c>
      <c r="X658" s="31">
        <v>0</v>
      </c>
      <c r="Y658" s="31">
        <v>0</v>
      </c>
      <c r="Z658" s="31">
        <v>0</v>
      </c>
      <c r="AA658" s="31">
        <v>0</v>
      </c>
      <c r="AB658" s="31">
        <v>0</v>
      </c>
      <c r="AC658" s="31">
        <v>0</v>
      </c>
      <c r="AD658" s="31">
        <v>100000</v>
      </c>
      <c r="AE658" s="31">
        <v>0</v>
      </c>
      <c r="AF658" s="34">
        <v>2021</v>
      </c>
      <c r="AG658" s="34" t="s">
        <v>274</v>
      </c>
      <c r="AH658" s="35" t="s">
        <v>274</v>
      </c>
      <c r="BZ658" s="71"/>
      <c r="CD658" s="20" t="e">
        <f t="shared" si="125"/>
        <v>#N/A</v>
      </c>
    </row>
    <row r="659" spans="1:82" ht="61.5" x14ac:dyDescent="0.85">
      <c r="A659" s="20">
        <v>1</v>
      </c>
      <c r="B659" s="66">
        <f>SUBTOTAL(103,$A$554:A659)</f>
        <v>106</v>
      </c>
      <c r="C659" s="24" t="s">
        <v>605</v>
      </c>
      <c r="D659" s="31">
        <f t="shared" si="121"/>
        <v>100000</v>
      </c>
      <c r="E659" s="31">
        <v>0</v>
      </c>
      <c r="F659" s="31">
        <v>0</v>
      </c>
      <c r="G659" s="31">
        <v>0</v>
      </c>
      <c r="H659" s="31">
        <v>0</v>
      </c>
      <c r="I659" s="31">
        <v>0</v>
      </c>
      <c r="J659" s="31">
        <v>0</v>
      </c>
      <c r="K659" s="33">
        <v>0</v>
      </c>
      <c r="L659" s="31">
        <v>0</v>
      </c>
      <c r="M659" s="31">
        <v>0</v>
      </c>
      <c r="N659" s="31">
        <v>0</v>
      </c>
      <c r="O659" s="31">
        <v>0</v>
      </c>
      <c r="P659" s="31">
        <v>0</v>
      </c>
      <c r="Q659" s="31">
        <v>0</v>
      </c>
      <c r="R659" s="31">
        <v>0</v>
      </c>
      <c r="S659" s="31">
        <v>0</v>
      </c>
      <c r="T659" s="31">
        <v>0</v>
      </c>
      <c r="U659" s="31">
        <v>0</v>
      </c>
      <c r="V659" s="31">
        <v>0</v>
      </c>
      <c r="W659" s="31">
        <v>0</v>
      </c>
      <c r="X659" s="31">
        <v>0</v>
      </c>
      <c r="Y659" s="31">
        <v>0</v>
      </c>
      <c r="Z659" s="31">
        <v>0</v>
      </c>
      <c r="AA659" s="31">
        <v>0</v>
      </c>
      <c r="AB659" s="31">
        <v>0</v>
      </c>
      <c r="AC659" s="31">
        <v>0</v>
      </c>
      <c r="AD659" s="31">
        <v>100000</v>
      </c>
      <c r="AE659" s="31">
        <v>0</v>
      </c>
      <c r="AF659" s="34">
        <v>2021</v>
      </c>
      <c r="AG659" s="34" t="s">
        <v>274</v>
      </c>
      <c r="AH659" s="35" t="s">
        <v>274</v>
      </c>
      <c r="BZ659" s="71"/>
      <c r="CD659" s="20" t="e">
        <f t="shared" si="125"/>
        <v>#N/A</v>
      </c>
    </row>
    <row r="660" spans="1:82" ht="61.5" x14ac:dyDescent="0.85">
      <c r="A660" s="20">
        <v>1</v>
      </c>
      <c r="B660" s="66">
        <f>SUBTOTAL(103,$A$554:A660)</f>
        <v>107</v>
      </c>
      <c r="C660" s="24" t="s">
        <v>606</v>
      </c>
      <c r="D660" s="31">
        <f t="shared" si="121"/>
        <v>100000</v>
      </c>
      <c r="E660" s="31">
        <v>0</v>
      </c>
      <c r="F660" s="31">
        <v>0</v>
      </c>
      <c r="G660" s="31">
        <v>0</v>
      </c>
      <c r="H660" s="31">
        <v>0</v>
      </c>
      <c r="I660" s="31">
        <v>0</v>
      </c>
      <c r="J660" s="31">
        <v>0</v>
      </c>
      <c r="K660" s="33">
        <v>0</v>
      </c>
      <c r="L660" s="31">
        <v>0</v>
      </c>
      <c r="M660" s="31">
        <v>0</v>
      </c>
      <c r="N660" s="31">
        <v>0</v>
      </c>
      <c r="O660" s="31">
        <v>0</v>
      </c>
      <c r="P660" s="31">
        <v>0</v>
      </c>
      <c r="Q660" s="31">
        <v>0</v>
      </c>
      <c r="R660" s="31">
        <v>0</v>
      </c>
      <c r="S660" s="31">
        <v>0</v>
      </c>
      <c r="T660" s="31">
        <v>0</v>
      </c>
      <c r="U660" s="31">
        <v>0</v>
      </c>
      <c r="V660" s="31">
        <v>0</v>
      </c>
      <c r="W660" s="31">
        <v>0</v>
      </c>
      <c r="X660" s="31">
        <v>0</v>
      </c>
      <c r="Y660" s="31">
        <v>0</v>
      </c>
      <c r="Z660" s="31">
        <v>0</v>
      </c>
      <c r="AA660" s="31">
        <v>0</v>
      </c>
      <c r="AB660" s="31">
        <v>0</v>
      </c>
      <c r="AC660" s="31">
        <v>0</v>
      </c>
      <c r="AD660" s="31">
        <v>100000</v>
      </c>
      <c r="AE660" s="31">
        <v>0</v>
      </c>
      <c r="AF660" s="34">
        <v>2021</v>
      </c>
      <c r="AG660" s="34" t="s">
        <v>274</v>
      </c>
      <c r="AH660" s="35" t="s">
        <v>274</v>
      </c>
      <c r="BZ660" s="71"/>
      <c r="CD660" s="20" t="e">
        <f t="shared" si="125"/>
        <v>#N/A</v>
      </c>
    </row>
    <row r="661" spans="1:82" ht="61.5" x14ac:dyDescent="0.85">
      <c r="A661" s="20">
        <v>1</v>
      </c>
      <c r="B661" s="66">
        <f>SUBTOTAL(103,$A$554:A661)</f>
        <v>108</v>
      </c>
      <c r="C661" s="24" t="s">
        <v>607</v>
      </c>
      <c r="D661" s="31">
        <f t="shared" si="121"/>
        <v>100000</v>
      </c>
      <c r="E661" s="31">
        <v>0</v>
      </c>
      <c r="F661" s="31">
        <v>0</v>
      </c>
      <c r="G661" s="31">
        <v>0</v>
      </c>
      <c r="H661" s="31">
        <v>0</v>
      </c>
      <c r="I661" s="31">
        <v>0</v>
      </c>
      <c r="J661" s="31">
        <v>0</v>
      </c>
      <c r="K661" s="33">
        <v>0</v>
      </c>
      <c r="L661" s="31">
        <v>0</v>
      </c>
      <c r="M661" s="31">
        <v>0</v>
      </c>
      <c r="N661" s="31">
        <v>0</v>
      </c>
      <c r="O661" s="31">
        <v>0</v>
      </c>
      <c r="P661" s="31">
        <v>0</v>
      </c>
      <c r="Q661" s="31">
        <v>0</v>
      </c>
      <c r="R661" s="31">
        <v>0</v>
      </c>
      <c r="S661" s="31">
        <v>0</v>
      </c>
      <c r="T661" s="31">
        <v>0</v>
      </c>
      <c r="U661" s="31">
        <v>0</v>
      </c>
      <c r="V661" s="31">
        <v>0</v>
      </c>
      <c r="W661" s="31">
        <v>0</v>
      </c>
      <c r="X661" s="31">
        <v>0</v>
      </c>
      <c r="Y661" s="31">
        <v>0</v>
      </c>
      <c r="Z661" s="31">
        <v>0</v>
      </c>
      <c r="AA661" s="31">
        <v>0</v>
      </c>
      <c r="AB661" s="31">
        <v>0</v>
      </c>
      <c r="AC661" s="31">
        <v>0</v>
      </c>
      <c r="AD661" s="31">
        <v>100000</v>
      </c>
      <c r="AE661" s="31">
        <v>0</v>
      </c>
      <c r="AF661" s="34">
        <v>2021</v>
      </c>
      <c r="AG661" s="34" t="s">
        <v>274</v>
      </c>
      <c r="AH661" s="35" t="s">
        <v>274</v>
      </c>
      <c r="BZ661" s="71"/>
      <c r="CD661" s="20" t="e">
        <f t="shared" si="125"/>
        <v>#N/A</v>
      </c>
    </row>
    <row r="662" spans="1:82" ht="61.5" x14ac:dyDescent="0.85">
      <c r="A662" s="20">
        <v>1</v>
      </c>
      <c r="B662" s="66">
        <f>SUBTOTAL(103,$A$554:A662)</f>
        <v>109</v>
      </c>
      <c r="C662" s="24" t="s">
        <v>608</v>
      </c>
      <c r="D662" s="31">
        <f t="shared" si="121"/>
        <v>100000</v>
      </c>
      <c r="E662" s="31">
        <v>0</v>
      </c>
      <c r="F662" s="31">
        <v>0</v>
      </c>
      <c r="G662" s="31">
        <v>0</v>
      </c>
      <c r="H662" s="31">
        <v>0</v>
      </c>
      <c r="I662" s="31">
        <v>0</v>
      </c>
      <c r="J662" s="31">
        <v>0</v>
      </c>
      <c r="K662" s="33">
        <v>0</v>
      </c>
      <c r="L662" s="31">
        <v>0</v>
      </c>
      <c r="M662" s="31">
        <v>0</v>
      </c>
      <c r="N662" s="31">
        <v>0</v>
      </c>
      <c r="O662" s="31">
        <v>0</v>
      </c>
      <c r="P662" s="31">
        <v>0</v>
      </c>
      <c r="Q662" s="31">
        <v>0</v>
      </c>
      <c r="R662" s="31">
        <v>0</v>
      </c>
      <c r="S662" s="31">
        <v>0</v>
      </c>
      <c r="T662" s="31">
        <v>0</v>
      </c>
      <c r="U662" s="31">
        <v>0</v>
      </c>
      <c r="V662" s="31">
        <v>0</v>
      </c>
      <c r="W662" s="31">
        <v>0</v>
      </c>
      <c r="X662" s="31">
        <v>0</v>
      </c>
      <c r="Y662" s="31">
        <v>0</v>
      </c>
      <c r="Z662" s="31">
        <v>0</v>
      </c>
      <c r="AA662" s="31">
        <v>0</v>
      </c>
      <c r="AB662" s="31">
        <v>0</v>
      </c>
      <c r="AC662" s="31">
        <v>0</v>
      </c>
      <c r="AD662" s="31">
        <v>100000</v>
      </c>
      <c r="AE662" s="31">
        <v>0</v>
      </c>
      <c r="AF662" s="34">
        <v>2021</v>
      </c>
      <c r="AG662" s="34" t="s">
        <v>274</v>
      </c>
      <c r="AH662" s="35" t="s">
        <v>274</v>
      </c>
      <c r="BZ662" s="71"/>
      <c r="CD662" s="20" t="e">
        <f t="shared" si="125"/>
        <v>#N/A</v>
      </c>
    </row>
    <row r="663" spans="1:82" ht="61.5" x14ac:dyDescent="0.85">
      <c r="A663" s="20">
        <v>1</v>
      </c>
      <c r="B663" s="66">
        <f>SUBTOTAL(103,$A$554:A663)</f>
        <v>110</v>
      </c>
      <c r="C663" s="24" t="s">
        <v>609</v>
      </c>
      <c r="D663" s="31">
        <f t="shared" si="121"/>
        <v>120000.25</v>
      </c>
      <c r="E663" s="31">
        <v>0</v>
      </c>
      <c r="F663" s="31">
        <v>0</v>
      </c>
      <c r="G663" s="31">
        <v>0</v>
      </c>
      <c r="H663" s="31">
        <v>0</v>
      </c>
      <c r="I663" s="31">
        <v>0</v>
      </c>
      <c r="J663" s="31">
        <v>0</v>
      </c>
      <c r="K663" s="33">
        <v>0</v>
      </c>
      <c r="L663" s="31">
        <v>0</v>
      </c>
      <c r="M663" s="31">
        <v>0</v>
      </c>
      <c r="N663" s="31">
        <v>0</v>
      </c>
      <c r="O663" s="31">
        <v>0</v>
      </c>
      <c r="P663" s="31">
        <v>0</v>
      </c>
      <c r="Q663" s="31">
        <v>0</v>
      </c>
      <c r="R663" s="31">
        <v>0</v>
      </c>
      <c r="S663" s="31">
        <v>0</v>
      </c>
      <c r="T663" s="31">
        <v>0</v>
      </c>
      <c r="U663" s="31">
        <v>0</v>
      </c>
      <c r="V663" s="31">
        <v>0</v>
      </c>
      <c r="W663" s="31">
        <v>0</v>
      </c>
      <c r="X663" s="31">
        <v>0</v>
      </c>
      <c r="Y663" s="31">
        <v>0</v>
      </c>
      <c r="Z663" s="31">
        <v>0</v>
      </c>
      <c r="AA663" s="31">
        <v>0</v>
      </c>
      <c r="AB663" s="31">
        <v>0</v>
      </c>
      <c r="AC663" s="31">
        <v>0</v>
      </c>
      <c r="AD663" s="31">
        <v>120000.25</v>
      </c>
      <c r="AE663" s="31">
        <v>0</v>
      </c>
      <c r="AF663" s="34">
        <v>2021</v>
      </c>
      <c r="AG663" s="34" t="s">
        <v>274</v>
      </c>
      <c r="AH663" s="35" t="s">
        <v>274</v>
      </c>
      <c r="BZ663" s="71"/>
      <c r="CD663" s="20" t="e">
        <f t="shared" ref="CD663:CD726" si="126">VLOOKUP(C663,CE:CF,2,FALSE)</f>
        <v>#N/A</v>
      </c>
    </row>
    <row r="664" spans="1:82" ht="61.5" x14ac:dyDescent="0.85">
      <c r="A664" s="20">
        <v>1</v>
      </c>
      <c r="B664" s="66">
        <f>SUBTOTAL(103,$A$554:A664)</f>
        <v>111</v>
      </c>
      <c r="C664" s="24" t="s">
        <v>610</v>
      </c>
      <c r="D664" s="31">
        <f t="shared" si="121"/>
        <v>100000</v>
      </c>
      <c r="E664" s="31">
        <v>0</v>
      </c>
      <c r="F664" s="31">
        <v>0</v>
      </c>
      <c r="G664" s="31">
        <v>0</v>
      </c>
      <c r="H664" s="31">
        <v>0</v>
      </c>
      <c r="I664" s="31">
        <v>0</v>
      </c>
      <c r="J664" s="31">
        <v>0</v>
      </c>
      <c r="K664" s="33">
        <v>0</v>
      </c>
      <c r="L664" s="31">
        <v>0</v>
      </c>
      <c r="M664" s="31">
        <v>0</v>
      </c>
      <c r="N664" s="31">
        <v>0</v>
      </c>
      <c r="O664" s="31">
        <v>0</v>
      </c>
      <c r="P664" s="31">
        <v>0</v>
      </c>
      <c r="Q664" s="31">
        <v>0</v>
      </c>
      <c r="R664" s="31">
        <v>0</v>
      </c>
      <c r="S664" s="31">
        <v>0</v>
      </c>
      <c r="T664" s="31">
        <v>0</v>
      </c>
      <c r="U664" s="31">
        <v>0</v>
      </c>
      <c r="V664" s="31">
        <v>0</v>
      </c>
      <c r="W664" s="31">
        <v>0</v>
      </c>
      <c r="X664" s="31">
        <v>0</v>
      </c>
      <c r="Y664" s="31">
        <v>0</v>
      </c>
      <c r="Z664" s="31">
        <v>0</v>
      </c>
      <c r="AA664" s="31">
        <v>0</v>
      </c>
      <c r="AB664" s="31">
        <v>0</v>
      </c>
      <c r="AC664" s="31">
        <v>0</v>
      </c>
      <c r="AD664" s="31">
        <v>100000</v>
      </c>
      <c r="AE664" s="31">
        <v>0</v>
      </c>
      <c r="AF664" s="34">
        <v>2021</v>
      </c>
      <c r="AG664" s="34" t="s">
        <v>274</v>
      </c>
      <c r="AH664" s="35" t="s">
        <v>274</v>
      </c>
      <c r="BZ664" s="71"/>
      <c r="CD664" s="20" t="e">
        <f t="shared" si="126"/>
        <v>#N/A</v>
      </c>
    </row>
    <row r="665" spans="1:82" ht="61.5" x14ac:dyDescent="0.85">
      <c r="A665" s="20">
        <v>1</v>
      </c>
      <c r="B665" s="66">
        <f>SUBTOTAL(103,$A$554:A665)</f>
        <v>112</v>
      </c>
      <c r="C665" s="24" t="s">
        <v>611</v>
      </c>
      <c r="D665" s="31">
        <f t="shared" si="121"/>
        <v>100000</v>
      </c>
      <c r="E665" s="31">
        <v>0</v>
      </c>
      <c r="F665" s="31">
        <v>0</v>
      </c>
      <c r="G665" s="31">
        <v>0</v>
      </c>
      <c r="H665" s="31">
        <v>0</v>
      </c>
      <c r="I665" s="31">
        <v>0</v>
      </c>
      <c r="J665" s="31">
        <v>0</v>
      </c>
      <c r="K665" s="33">
        <v>0</v>
      </c>
      <c r="L665" s="31">
        <v>0</v>
      </c>
      <c r="M665" s="31">
        <v>0</v>
      </c>
      <c r="N665" s="31">
        <v>0</v>
      </c>
      <c r="O665" s="31">
        <v>0</v>
      </c>
      <c r="P665" s="31">
        <v>0</v>
      </c>
      <c r="Q665" s="31">
        <v>0</v>
      </c>
      <c r="R665" s="31">
        <v>0</v>
      </c>
      <c r="S665" s="31">
        <v>0</v>
      </c>
      <c r="T665" s="31">
        <v>0</v>
      </c>
      <c r="U665" s="31">
        <v>0</v>
      </c>
      <c r="V665" s="31">
        <v>0</v>
      </c>
      <c r="W665" s="31">
        <v>0</v>
      </c>
      <c r="X665" s="31">
        <v>0</v>
      </c>
      <c r="Y665" s="31">
        <v>0</v>
      </c>
      <c r="Z665" s="31">
        <v>0</v>
      </c>
      <c r="AA665" s="31">
        <v>0</v>
      </c>
      <c r="AB665" s="31">
        <v>0</v>
      </c>
      <c r="AC665" s="31">
        <v>0</v>
      </c>
      <c r="AD665" s="31">
        <v>100000</v>
      </c>
      <c r="AE665" s="31">
        <v>0</v>
      </c>
      <c r="AF665" s="34">
        <v>2021</v>
      </c>
      <c r="AG665" s="34" t="s">
        <v>274</v>
      </c>
      <c r="AH665" s="35" t="s">
        <v>274</v>
      </c>
      <c r="BZ665" s="71"/>
      <c r="CD665" s="20" t="e">
        <f t="shared" si="126"/>
        <v>#N/A</v>
      </c>
    </row>
    <row r="666" spans="1:82" ht="61.5" x14ac:dyDescent="0.85">
      <c r="A666" s="20">
        <v>1</v>
      </c>
      <c r="B666" s="66">
        <f>SUBTOTAL(103,$A$554:A666)</f>
        <v>113</v>
      </c>
      <c r="C666" s="24" t="s">
        <v>612</v>
      </c>
      <c r="D666" s="31">
        <f t="shared" si="121"/>
        <v>100000</v>
      </c>
      <c r="E666" s="31">
        <v>0</v>
      </c>
      <c r="F666" s="31">
        <v>0</v>
      </c>
      <c r="G666" s="31">
        <v>0</v>
      </c>
      <c r="H666" s="31">
        <v>0</v>
      </c>
      <c r="I666" s="31">
        <v>0</v>
      </c>
      <c r="J666" s="31">
        <v>0</v>
      </c>
      <c r="K666" s="33">
        <v>0</v>
      </c>
      <c r="L666" s="31">
        <v>0</v>
      </c>
      <c r="M666" s="31">
        <v>0</v>
      </c>
      <c r="N666" s="31">
        <v>0</v>
      </c>
      <c r="O666" s="31">
        <v>0</v>
      </c>
      <c r="P666" s="31">
        <v>0</v>
      </c>
      <c r="Q666" s="31">
        <v>0</v>
      </c>
      <c r="R666" s="31">
        <v>0</v>
      </c>
      <c r="S666" s="31">
        <v>0</v>
      </c>
      <c r="T666" s="31">
        <v>0</v>
      </c>
      <c r="U666" s="31">
        <v>0</v>
      </c>
      <c r="V666" s="31">
        <v>0</v>
      </c>
      <c r="W666" s="31">
        <v>0</v>
      </c>
      <c r="X666" s="31">
        <v>0</v>
      </c>
      <c r="Y666" s="31">
        <v>0</v>
      </c>
      <c r="Z666" s="31">
        <v>0</v>
      </c>
      <c r="AA666" s="31">
        <v>0</v>
      </c>
      <c r="AB666" s="31">
        <v>0</v>
      </c>
      <c r="AC666" s="31">
        <v>0</v>
      </c>
      <c r="AD666" s="31">
        <v>100000</v>
      </c>
      <c r="AE666" s="31">
        <v>0</v>
      </c>
      <c r="AF666" s="34">
        <v>2021</v>
      </c>
      <c r="AG666" s="34" t="s">
        <v>274</v>
      </c>
      <c r="AH666" s="35" t="s">
        <v>274</v>
      </c>
      <c r="BZ666" s="71"/>
      <c r="CD666" s="20" t="e">
        <f t="shared" si="126"/>
        <v>#N/A</v>
      </c>
    </row>
    <row r="667" spans="1:82" ht="61.5" x14ac:dyDescent="0.85">
      <c r="A667" s="20">
        <v>1</v>
      </c>
      <c r="B667" s="66">
        <f>SUBTOTAL(103,$A$554:A667)</f>
        <v>114</v>
      </c>
      <c r="C667" s="24" t="s">
        <v>613</v>
      </c>
      <c r="D667" s="31">
        <f t="shared" si="121"/>
        <v>100000</v>
      </c>
      <c r="E667" s="31">
        <v>0</v>
      </c>
      <c r="F667" s="31">
        <v>0</v>
      </c>
      <c r="G667" s="31">
        <v>0</v>
      </c>
      <c r="H667" s="31">
        <v>0</v>
      </c>
      <c r="I667" s="31">
        <v>0</v>
      </c>
      <c r="J667" s="31">
        <v>0</v>
      </c>
      <c r="K667" s="33">
        <v>0</v>
      </c>
      <c r="L667" s="31">
        <v>0</v>
      </c>
      <c r="M667" s="31">
        <v>0</v>
      </c>
      <c r="N667" s="31">
        <v>0</v>
      </c>
      <c r="O667" s="31">
        <v>0</v>
      </c>
      <c r="P667" s="31">
        <v>0</v>
      </c>
      <c r="Q667" s="31">
        <v>0</v>
      </c>
      <c r="R667" s="31">
        <v>0</v>
      </c>
      <c r="S667" s="31">
        <v>0</v>
      </c>
      <c r="T667" s="31">
        <v>0</v>
      </c>
      <c r="U667" s="31">
        <v>0</v>
      </c>
      <c r="V667" s="31">
        <v>0</v>
      </c>
      <c r="W667" s="31">
        <v>0</v>
      </c>
      <c r="X667" s="31">
        <v>0</v>
      </c>
      <c r="Y667" s="31">
        <v>0</v>
      </c>
      <c r="Z667" s="31">
        <v>0</v>
      </c>
      <c r="AA667" s="31">
        <v>0</v>
      </c>
      <c r="AB667" s="31">
        <v>0</v>
      </c>
      <c r="AC667" s="31">
        <v>0</v>
      </c>
      <c r="AD667" s="31">
        <v>100000</v>
      </c>
      <c r="AE667" s="31">
        <v>0</v>
      </c>
      <c r="AF667" s="34">
        <v>2021</v>
      </c>
      <c r="AG667" s="34" t="s">
        <v>274</v>
      </c>
      <c r="AH667" s="35" t="s">
        <v>274</v>
      </c>
      <c r="BZ667" s="71"/>
      <c r="CD667" s="20" t="e">
        <f t="shared" si="126"/>
        <v>#N/A</v>
      </c>
    </row>
    <row r="668" spans="1:82" ht="61.5" x14ac:dyDescent="0.85">
      <c r="A668" s="20">
        <v>1</v>
      </c>
      <c r="B668" s="66">
        <f>SUBTOTAL(103,$A$554:A668)</f>
        <v>115</v>
      </c>
      <c r="C668" s="24" t="s">
        <v>614</v>
      </c>
      <c r="D668" s="31">
        <f t="shared" si="121"/>
        <v>100000</v>
      </c>
      <c r="E668" s="31">
        <v>0</v>
      </c>
      <c r="F668" s="31">
        <v>0</v>
      </c>
      <c r="G668" s="31">
        <v>0</v>
      </c>
      <c r="H668" s="31">
        <v>0</v>
      </c>
      <c r="I668" s="31">
        <v>0</v>
      </c>
      <c r="J668" s="31">
        <v>0</v>
      </c>
      <c r="K668" s="33">
        <v>0</v>
      </c>
      <c r="L668" s="31">
        <v>0</v>
      </c>
      <c r="M668" s="31">
        <v>0</v>
      </c>
      <c r="N668" s="31">
        <v>0</v>
      </c>
      <c r="O668" s="31">
        <v>0</v>
      </c>
      <c r="P668" s="31">
        <v>0</v>
      </c>
      <c r="Q668" s="31">
        <v>0</v>
      </c>
      <c r="R668" s="31">
        <v>0</v>
      </c>
      <c r="S668" s="31">
        <v>0</v>
      </c>
      <c r="T668" s="31">
        <v>0</v>
      </c>
      <c r="U668" s="31">
        <v>0</v>
      </c>
      <c r="V668" s="31">
        <v>0</v>
      </c>
      <c r="W668" s="31">
        <v>0</v>
      </c>
      <c r="X668" s="31">
        <v>0</v>
      </c>
      <c r="Y668" s="31">
        <v>0</v>
      </c>
      <c r="Z668" s="31">
        <v>0</v>
      </c>
      <c r="AA668" s="31">
        <v>0</v>
      </c>
      <c r="AB668" s="31">
        <v>0</v>
      </c>
      <c r="AC668" s="31">
        <v>0</v>
      </c>
      <c r="AD668" s="31">
        <v>100000</v>
      </c>
      <c r="AE668" s="31">
        <v>0</v>
      </c>
      <c r="AF668" s="34">
        <v>2021</v>
      </c>
      <c r="AG668" s="34" t="s">
        <v>274</v>
      </c>
      <c r="AH668" s="35" t="s">
        <v>274</v>
      </c>
      <c r="BZ668" s="71"/>
      <c r="CD668" s="20" t="e">
        <f t="shared" si="126"/>
        <v>#N/A</v>
      </c>
    </row>
    <row r="669" spans="1:82" ht="61.5" x14ac:dyDescent="0.85">
      <c r="A669" s="20">
        <v>1</v>
      </c>
      <c r="B669" s="66">
        <f>SUBTOTAL(103,$A$554:A669)</f>
        <v>116</v>
      </c>
      <c r="C669" s="24" t="s">
        <v>615</v>
      </c>
      <c r="D669" s="31">
        <f t="shared" si="121"/>
        <v>100000</v>
      </c>
      <c r="E669" s="31">
        <v>0</v>
      </c>
      <c r="F669" s="31">
        <v>0</v>
      </c>
      <c r="G669" s="31">
        <v>0</v>
      </c>
      <c r="H669" s="31">
        <v>0</v>
      </c>
      <c r="I669" s="31">
        <v>0</v>
      </c>
      <c r="J669" s="31">
        <v>0</v>
      </c>
      <c r="K669" s="33">
        <v>0</v>
      </c>
      <c r="L669" s="31">
        <v>0</v>
      </c>
      <c r="M669" s="31">
        <v>0</v>
      </c>
      <c r="N669" s="31">
        <v>0</v>
      </c>
      <c r="O669" s="31">
        <v>0</v>
      </c>
      <c r="P669" s="31">
        <v>0</v>
      </c>
      <c r="Q669" s="31">
        <v>0</v>
      </c>
      <c r="R669" s="31">
        <v>0</v>
      </c>
      <c r="S669" s="31">
        <v>0</v>
      </c>
      <c r="T669" s="31">
        <v>0</v>
      </c>
      <c r="U669" s="31">
        <v>0</v>
      </c>
      <c r="V669" s="31">
        <v>0</v>
      </c>
      <c r="W669" s="31">
        <v>0</v>
      </c>
      <c r="X669" s="31">
        <v>0</v>
      </c>
      <c r="Y669" s="31">
        <v>0</v>
      </c>
      <c r="Z669" s="31">
        <v>0</v>
      </c>
      <c r="AA669" s="31">
        <v>0</v>
      </c>
      <c r="AB669" s="31">
        <v>0</v>
      </c>
      <c r="AC669" s="31">
        <v>0</v>
      </c>
      <c r="AD669" s="31">
        <v>100000</v>
      </c>
      <c r="AE669" s="31">
        <v>0</v>
      </c>
      <c r="AF669" s="34">
        <v>2021</v>
      </c>
      <c r="AG669" s="34" t="s">
        <v>274</v>
      </c>
      <c r="AH669" s="35" t="s">
        <v>274</v>
      </c>
      <c r="BZ669" s="71"/>
      <c r="CD669" s="20" t="e">
        <f t="shared" si="126"/>
        <v>#N/A</v>
      </c>
    </row>
    <row r="670" spans="1:82" ht="61.5" x14ac:dyDescent="0.85">
      <c r="A670" s="20">
        <v>1</v>
      </c>
      <c r="B670" s="66">
        <f>SUBTOTAL(103,$A$554:A670)</f>
        <v>117</v>
      </c>
      <c r="C670" s="24" t="s">
        <v>616</v>
      </c>
      <c r="D670" s="31">
        <f t="shared" si="121"/>
        <v>100000</v>
      </c>
      <c r="E670" s="31">
        <v>0</v>
      </c>
      <c r="F670" s="31">
        <v>0</v>
      </c>
      <c r="G670" s="31">
        <v>0</v>
      </c>
      <c r="H670" s="31">
        <v>0</v>
      </c>
      <c r="I670" s="31">
        <v>0</v>
      </c>
      <c r="J670" s="31">
        <v>0</v>
      </c>
      <c r="K670" s="33">
        <v>0</v>
      </c>
      <c r="L670" s="31">
        <v>0</v>
      </c>
      <c r="M670" s="31">
        <v>0</v>
      </c>
      <c r="N670" s="31">
        <v>0</v>
      </c>
      <c r="O670" s="31">
        <v>0</v>
      </c>
      <c r="P670" s="31">
        <v>0</v>
      </c>
      <c r="Q670" s="31">
        <v>0</v>
      </c>
      <c r="R670" s="31">
        <v>0</v>
      </c>
      <c r="S670" s="31">
        <v>0</v>
      </c>
      <c r="T670" s="31">
        <v>0</v>
      </c>
      <c r="U670" s="31">
        <v>0</v>
      </c>
      <c r="V670" s="31">
        <v>0</v>
      </c>
      <c r="W670" s="31">
        <v>0</v>
      </c>
      <c r="X670" s="31">
        <v>0</v>
      </c>
      <c r="Y670" s="31">
        <v>0</v>
      </c>
      <c r="Z670" s="31">
        <v>0</v>
      </c>
      <c r="AA670" s="31">
        <v>0</v>
      </c>
      <c r="AB670" s="31">
        <v>0</v>
      </c>
      <c r="AC670" s="31">
        <v>0</v>
      </c>
      <c r="AD670" s="31">
        <v>100000</v>
      </c>
      <c r="AE670" s="31">
        <v>0</v>
      </c>
      <c r="AF670" s="34">
        <v>2021</v>
      </c>
      <c r="AG670" s="34" t="s">
        <v>274</v>
      </c>
      <c r="AH670" s="35" t="s">
        <v>274</v>
      </c>
      <c r="BZ670" s="71"/>
      <c r="CD670" s="20" t="e">
        <f t="shared" si="126"/>
        <v>#N/A</v>
      </c>
    </row>
    <row r="671" spans="1:82" ht="61.5" x14ac:dyDescent="0.85">
      <c r="A671" s="20">
        <v>1</v>
      </c>
      <c r="B671" s="66">
        <f>SUBTOTAL(103,$A$554:A671)</f>
        <v>118</v>
      </c>
      <c r="C671" s="24" t="s">
        <v>617</v>
      </c>
      <c r="D671" s="31">
        <f t="shared" si="121"/>
        <v>100000</v>
      </c>
      <c r="E671" s="31">
        <v>0</v>
      </c>
      <c r="F671" s="31">
        <v>0</v>
      </c>
      <c r="G671" s="31">
        <v>0</v>
      </c>
      <c r="H671" s="31">
        <v>0</v>
      </c>
      <c r="I671" s="31">
        <v>0</v>
      </c>
      <c r="J671" s="31">
        <v>0</v>
      </c>
      <c r="K671" s="33">
        <v>0</v>
      </c>
      <c r="L671" s="31">
        <v>0</v>
      </c>
      <c r="M671" s="31">
        <v>0</v>
      </c>
      <c r="N671" s="31">
        <v>0</v>
      </c>
      <c r="O671" s="31">
        <v>0</v>
      </c>
      <c r="P671" s="31">
        <v>0</v>
      </c>
      <c r="Q671" s="31">
        <v>0</v>
      </c>
      <c r="R671" s="31">
        <v>0</v>
      </c>
      <c r="S671" s="31">
        <v>0</v>
      </c>
      <c r="T671" s="31">
        <v>0</v>
      </c>
      <c r="U671" s="31">
        <v>0</v>
      </c>
      <c r="V671" s="31">
        <v>0</v>
      </c>
      <c r="W671" s="31">
        <v>0</v>
      </c>
      <c r="X671" s="31">
        <v>0</v>
      </c>
      <c r="Y671" s="31">
        <v>0</v>
      </c>
      <c r="Z671" s="31">
        <v>0</v>
      </c>
      <c r="AA671" s="31">
        <v>0</v>
      </c>
      <c r="AB671" s="31">
        <v>0</v>
      </c>
      <c r="AC671" s="31">
        <v>0</v>
      </c>
      <c r="AD671" s="31">
        <v>100000</v>
      </c>
      <c r="AE671" s="31">
        <v>0</v>
      </c>
      <c r="AF671" s="34">
        <v>2021</v>
      </c>
      <c r="AG671" s="34" t="s">
        <v>274</v>
      </c>
      <c r="AH671" s="35" t="s">
        <v>274</v>
      </c>
      <c r="BZ671" s="71"/>
      <c r="CD671" s="20" t="e">
        <f t="shared" si="126"/>
        <v>#N/A</v>
      </c>
    </row>
    <row r="672" spans="1:82" ht="61.5" x14ac:dyDescent="0.85">
      <c r="A672" s="20">
        <v>1</v>
      </c>
      <c r="B672" s="66">
        <f>SUBTOTAL(103,$A$554:A672)</f>
        <v>119</v>
      </c>
      <c r="C672" s="24" t="s">
        <v>618</v>
      </c>
      <c r="D672" s="31">
        <f t="shared" si="121"/>
        <v>70000</v>
      </c>
      <c r="E672" s="31">
        <v>0</v>
      </c>
      <c r="F672" s="31">
        <v>0</v>
      </c>
      <c r="G672" s="31">
        <v>0</v>
      </c>
      <c r="H672" s="31">
        <v>0</v>
      </c>
      <c r="I672" s="31">
        <v>0</v>
      </c>
      <c r="J672" s="31">
        <v>0</v>
      </c>
      <c r="K672" s="33">
        <v>0</v>
      </c>
      <c r="L672" s="31">
        <v>0</v>
      </c>
      <c r="M672" s="31">
        <v>0</v>
      </c>
      <c r="N672" s="31">
        <v>0</v>
      </c>
      <c r="O672" s="31">
        <v>0</v>
      </c>
      <c r="P672" s="31">
        <v>0</v>
      </c>
      <c r="Q672" s="31">
        <v>0</v>
      </c>
      <c r="R672" s="31">
        <v>0</v>
      </c>
      <c r="S672" s="31">
        <v>0</v>
      </c>
      <c r="T672" s="31">
        <v>0</v>
      </c>
      <c r="U672" s="31">
        <v>0</v>
      </c>
      <c r="V672" s="31">
        <v>0</v>
      </c>
      <c r="W672" s="31">
        <v>0</v>
      </c>
      <c r="X672" s="31">
        <v>0</v>
      </c>
      <c r="Y672" s="31">
        <v>0</v>
      </c>
      <c r="Z672" s="31">
        <v>0</v>
      </c>
      <c r="AA672" s="31">
        <v>0</v>
      </c>
      <c r="AB672" s="31">
        <v>0</v>
      </c>
      <c r="AC672" s="31">
        <v>0</v>
      </c>
      <c r="AD672" s="31">
        <v>70000</v>
      </c>
      <c r="AE672" s="31">
        <v>0</v>
      </c>
      <c r="AF672" s="34">
        <v>2021</v>
      </c>
      <c r="AG672" s="34" t="s">
        <v>274</v>
      </c>
      <c r="AH672" s="35" t="s">
        <v>274</v>
      </c>
      <c r="BZ672" s="71"/>
      <c r="CD672" s="20" t="e">
        <f t="shared" si="126"/>
        <v>#N/A</v>
      </c>
    </row>
    <row r="673" spans="1:82" ht="61.5" x14ac:dyDescent="0.85">
      <c r="A673" s="20">
        <v>1</v>
      </c>
      <c r="B673" s="66">
        <f>SUBTOTAL(103,$A$554:A673)</f>
        <v>120</v>
      </c>
      <c r="C673" s="24" t="s">
        <v>619</v>
      </c>
      <c r="D673" s="31">
        <f t="shared" si="121"/>
        <v>100000</v>
      </c>
      <c r="E673" s="31">
        <v>0</v>
      </c>
      <c r="F673" s="31">
        <v>0</v>
      </c>
      <c r="G673" s="31">
        <v>0</v>
      </c>
      <c r="H673" s="31">
        <v>0</v>
      </c>
      <c r="I673" s="31">
        <v>0</v>
      </c>
      <c r="J673" s="31">
        <v>0</v>
      </c>
      <c r="K673" s="33">
        <v>0</v>
      </c>
      <c r="L673" s="31">
        <v>0</v>
      </c>
      <c r="M673" s="31">
        <v>0</v>
      </c>
      <c r="N673" s="31">
        <v>0</v>
      </c>
      <c r="O673" s="31">
        <v>0</v>
      </c>
      <c r="P673" s="31">
        <v>0</v>
      </c>
      <c r="Q673" s="31">
        <v>0</v>
      </c>
      <c r="R673" s="31">
        <v>0</v>
      </c>
      <c r="S673" s="31">
        <v>0</v>
      </c>
      <c r="T673" s="31">
        <v>0</v>
      </c>
      <c r="U673" s="31">
        <v>0</v>
      </c>
      <c r="V673" s="31">
        <v>0</v>
      </c>
      <c r="W673" s="31">
        <v>0</v>
      </c>
      <c r="X673" s="31">
        <v>0</v>
      </c>
      <c r="Y673" s="31">
        <v>0</v>
      </c>
      <c r="Z673" s="31">
        <v>0</v>
      </c>
      <c r="AA673" s="31">
        <v>0</v>
      </c>
      <c r="AB673" s="31">
        <v>0</v>
      </c>
      <c r="AC673" s="31">
        <v>0</v>
      </c>
      <c r="AD673" s="31">
        <v>100000</v>
      </c>
      <c r="AE673" s="31">
        <v>0</v>
      </c>
      <c r="AF673" s="34">
        <v>2021</v>
      </c>
      <c r="AG673" s="34" t="s">
        <v>274</v>
      </c>
      <c r="AH673" s="35" t="s">
        <v>274</v>
      </c>
      <c r="BZ673" s="71"/>
      <c r="CD673" s="20" t="e">
        <f t="shared" si="126"/>
        <v>#N/A</v>
      </c>
    </row>
    <row r="674" spans="1:82" ht="61.5" x14ac:dyDescent="0.85">
      <c r="A674" s="20">
        <v>1</v>
      </c>
      <c r="B674" s="66">
        <f>SUBTOTAL(103,$A$554:A674)</f>
        <v>121</v>
      </c>
      <c r="C674" s="24" t="s">
        <v>620</v>
      </c>
      <c r="D674" s="31">
        <f t="shared" si="121"/>
        <v>100000</v>
      </c>
      <c r="E674" s="31">
        <v>0</v>
      </c>
      <c r="F674" s="31">
        <v>0</v>
      </c>
      <c r="G674" s="31">
        <v>0</v>
      </c>
      <c r="H674" s="31">
        <v>0</v>
      </c>
      <c r="I674" s="31">
        <v>0</v>
      </c>
      <c r="J674" s="31">
        <v>0</v>
      </c>
      <c r="K674" s="33">
        <v>0</v>
      </c>
      <c r="L674" s="31">
        <v>0</v>
      </c>
      <c r="M674" s="31">
        <v>0</v>
      </c>
      <c r="N674" s="31">
        <v>0</v>
      </c>
      <c r="O674" s="31">
        <v>0</v>
      </c>
      <c r="P674" s="31">
        <v>0</v>
      </c>
      <c r="Q674" s="31">
        <v>0</v>
      </c>
      <c r="R674" s="31">
        <v>0</v>
      </c>
      <c r="S674" s="31">
        <v>0</v>
      </c>
      <c r="T674" s="31">
        <v>0</v>
      </c>
      <c r="U674" s="31">
        <v>0</v>
      </c>
      <c r="V674" s="31">
        <v>0</v>
      </c>
      <c r="W674" s="31">
        <v>0</v>
      </c>
      <c r="X674" s="31">
        <v>0</v>
      </c>
      <c r="Y674" s="31">
        <v>0</v>
      </c>
      <c r="Z674" s="31">
        <v>0</v>
      </c>
      <c r="AA674" s="31">
        <v>0</v>
      </c>
      <c r="AB674" s="31">
        <v>0</v>
      </c>
      <c r="AC674" s="31">
        <v>0</v>
      </c>
      <c r="AD674" s="31">
        <v>100000</v>
      </c>
      <c r="AE674" s="31">
        <v>0</v>
      </c>
      <c r="AF674" s="34">
        <v>2021</v>
      </c>
      <c r="AG674" s="34" t="s">
        <v>274</v>
      </c>
      <c r="AH674" s="35" t="s">
        <v>274</v>
      </c>
      <c r="BZ674" s="71"/>
      <c r="CD674" s="20" t="e">
        <f t="shared" si="126"/>
        <v>#N/A</v>
      </c>
    </row>
    <row r="675" spans="1:82" ht="61.5" x14ac:dyDescent="0.85">
      <c r="A675" s="20">
        <v>1</v>
      </c>
      <c r="B675" s="66">
        <f>SUBTOTAL(103,$A$554:A675)</f>
        <v>122</v>
      </c>
      <c r="C675" s="24" t="s">
        <v>621</v>
      </c>
      <c r="D675" s="31">
        <f t="shared" si="121"/>
        <v>100000</v>
      </c>
      <c r="E675" s="31">
        <v>0</v>
      </c>
      <c r="F675" s="31">
        <v>0</v>
      </c>
      <c r="G675" s="31">
        <v>0</v>
      </c>
      <c r="H675" s="31">
        <v>0</v>
      </c>
      <c r="I675" s="31">
        <v>0</v>
      </c>
      <c r="J675" s="31">
        <v>0</v>
      </c>
      <c r="K675" s="33">
        <v>0</v>
      </c>
      <c r="L675" s="31">
        <v>0</v>
      </c>
      <c r="M675" s="31">
        <v>0</v>
      </c>
      <c r="N675" s="31">
        <v>0</v>
      </c>
      <c r="O675" s="31">
        <v>0</v>
      </c>
      <c r="P675" s="31">
        <v>0</v>
      </c>
      <c r="Q675" s="31">
        <v>0</v>
      </c>
      <c r="R675" s="31">
        <v>0</v>
      </c>
      <c r="S675" s="31">
        <v>0</v>
      </c>
      <c r="T675" s="31">
        <v>0</v>
      </c>
      <c r="U675" s="31">
        <v>0</v>
      </c>
      <c r="V675" s="31">
        <v>0</v>
      </c>
      <c r="W675" s="31">
        <v>0</v>
      </c>
      <c r="X675" s="31">
        <v>0</v>
      </c>
      <c r="Y675" s="31">
        <v>0</v>
      </c>
      <c r="Z675" s="31">
        <v>0</v>
      </c>
      <c r="AA675" s="31">
        <v>0</v>
      </c>
      <c r="AB675" s="31">
        <v>0</v>
      </c>
      <c r="AC675" s="31">
        <v>0</v>
      </c>
      <c r="AD675" s="31">
        <v>100000</v>
      </c>
      <c r="AE675" s="31">
        <v>0</v>
      </c>
      <c r="AF675" s="34">
        <v>2021</v>
      </c>
      <c r="AG675" s="34" t="s">
        <v>274</v>
      </c>
      <c r="AH675" s="35" t="s">
        <v>274</v>
      </c>
      <c r="BZ675" s="71"/>
      <c r="CD675" s="20" t="e">
        <f t="shared" si="126"/>
        <v>#N/A</v>
      </c>
    </row>
    <row r="676" spans="1:82" ht="61.5" x14ac:dyDescent="0.85">
      <c r="A676" s="20">
        <v>1</v>
      </c>
      <c r="B676" s="66">
        <f>SUBTOTAL(103,$A$554:A676)</f>
        <v>123</v>
      </c>
      <c r="C676" s="24" t="s">
        <v>1412</v>
      </c>
      <c r="D676" s="31">
        <f t="shared" si="121"/>
        <v>163844.70000000001</v>
      </c>
      <c r="E676" s="31">
        <v>0</v>
      </c>
      <c r="F676" s="31">
        <v>0</v>
      </c>
      <c r="G676" s="31">
        <v>0</v>
      </c>
      <c r="H676" s="31">
        <v>0</v>
      </c>
      <c r="I676" s="31">
        <v>0</v>
      </c>
      <c r="J676" s="31">
        <v>0</v>
      </c>
      <c r="K676" s="33">
        <v>0</v>
      </c>
      <c r="L676" s="31">
        <v>0</v>
      </c>
      <c r="M676" s="31">
        <v>0</v>
      </c>
      <c r="N676" s="31">
        <v>0</v>
      </c>
      <c r="O676" s="31">
        <v>0</v>
      </c>
      <c r="P676" s="31">
        <v>0</v>
      </c>
      <c r="Q676" s="31">
        <v>0</v>
      </c>
      <c r="R676" s="31">
        <v>0</v>
      </c>
      <c r="S676" s="31">
        <v>0</v>
      </c>
      <c r="T676" s="31">
        <v>0</v>
      </c>
      <c r="U676" s="31">
        <v>0</v>
      </c>
      <c r="V676" s="31">
        <v>0</v>
      </c>
      <c r="W676" s="31">
        <v>0</v>
      </c>
      <c r="X676" s="31">
        <v>0</v>
      </c>
      <c r="Y676" s="31">
        <v>0</v>
      </c>
      <c r="Z676" s="31">
        <v>0</v>
      </c>
      <c r="AA676" s="31">
        <v>0</v>
      </c>
      <c r="AB676" s="31">
        <v>0</v>
      </c>
      <c r="AC676" s="31">
        <v>0</v>
      </c>
      <c r="AD676" s="31">
        <v>163844.70000000001</v>
      </c>
      <c r="AE676" s="31">
        <v>0</v>
      </c>
      <c r="AF676" s="34">
        <v>2021</v>
      </c>
      <c r="AG676" s="34" t="s">
        <v>274</v>
      </c>
      <c r="AH676" s="35" t="s">
        <v>274</v>
      </c>
      <c r="BZ676" s="71"/>
      <c r="CD676" s="20" t="e">
        <f t="shared" si="126"/>
        <v>#N/A</v>
      </c>
    </row>
    <row r="677" spans="1:82" ht="61.5" x14ac:dyDescent="0.85">
      <c r="A677" s="20">
        <v>1</v>
      </c>
      <c r="B677" s="66">
        <f>SUBTOTAL(103,$A$554:A677)</f>
        <v>124</v>
      </c>
      <c r="C677" s="24" t="s">
        <v>1687</v>
      </c>
      <c r="D677" s="31">
        <f t="shared" si="121"/>
        <v>150000</v>
      </c>
      <c r="E677" s="31">
        <v>0</v>
      </c>
      <c r="F677" s="31">
        <v>0</v>
      </c>
      <c r="G677" s="31">
        <v>0</v>
      </c>
      <c r="H677" s="31">
        <v>0</v>
      </c>
      <c r="I677" s="31">
        <v>0</v>
      </c>
      <c r="J677" s="31">
        <v>0</v>
      </c>
      <c r="K677" s="33">
        <v>0</v>
      </c>
      <c r="L677" s="31">
        <v>0</v>
      </c>
      <c r="M677" s="31">
        <v>0</v>
      </c>
      <c r="N677" s="31">
        <v>0</v>
      </c>
      <c r="O677" s="31">
        <v>0</v>
      </c>
      <c r="P677" s="31">
        <v>0</v>
      </c>
      <c r="Q677" s="31">
        <v>0</v>
      </c>
      <c r="R677" s="31">
        <v>0</v>
      </c>
      <c r="S677" s="31">
        <v>0</v>
      </c>
      <c r="T677" s="31">
        <v>0</v>
      </c>
      <c r="U677" s="31">
        <v>0</v>
      </c>
      <c r="V677" s="31">
        <v>0</v>
      </c>
      <c r="W677" s="31">
        <v>0</v>
      </c>
      <c r="X677" s="31">
        <v>0</v>
      </c>
      <c r="Y677" s="31">
        <v>0</v>
      </c>
      <c r="Z677" s="31">
        <v>0</v>
      </c>
      <c r="AA677" s="31">
        <v>0</v>
      </c>
      <c r="AB677" s="31">
        <v>0</v>
      </c>
      <c r="AC677" s="31">
        <v>0</v>
      </c>
      <c r="AD677" s="31">
        <v>150000</v>
      </c>
      <c r="AE677" s="31">
        <v>0</v>
      </c>
      <c r="AF677" s="34">
        <v>2021</v>
      </c>
      <c r="AG677" s="34" t="s">
        <v>274</v>
      </c>
      <c r="AH677" s="35" t="s">
        <v>274</v>
      </c>
      <c r="BZ677" s="71"/>
      <c r="CD677" s="20" t="e">
        <f t="shared" si="126"/>
        <v>#N/A</v>
      </c>
    </row>
    <row r="678" spans="1:82" ht="61.5" x14ac:dyDescent="0.85">
      <c r="A678" s="20">
        <v>1</v>
      </c>
      <c r="B678" s="66">
        <f>SUBTOTAL(103,$A$554:A678)</f>
        <v>125</v>
      </c>
      <c r="C678" s="24" t="s">
        <v>1688</v>
      </c>
      <c r="D678" s="31">
        <f t="shared" ref="D678:D686" si="127">E678+F678+G678+H678+I678+J678+L678+N678+P678+R678+T678+U678+V678+W678+X678+Y678+Z678+AA678+AB678+AC678+AD678+AE678</f>
        <v>100000</v>
      </c>
      <c r="E678" s="31">
        <v>0</v>
      </c>
      <c r="F678" s="31">
        <v>0</v>
      </c>
      <c r="G678" s="31">
        <v>0</v>
      </c>
      <c r="H678" s="31">
        <v>0</v>
      </c>
      <c r="I678" s="31">
        <v>0</v>
      </c>
      <c r="J678" s="31">
        <v>0</v>
      </c>
      <c r="K678" s="33">
        <v>0</v>
      </c>
      <c r="L678" s="31">
        <v>0</v>
      </c>
      <c r="M678" s="31">
        <v>0</v>
      </c>
      <c r="N678" s="31">
        <v>0</v>
      </c>
      <c r="O678" s="31">
        <v>0</v>
      </c>
      <c r="P678" s="31">
        <v>0</v>
      </c>
      <c r="Q678" s="31">
        <v>0</v>
      </c>
      <c r="R678" s="31">
        <v>0</v>
      </c>
      <c r="S678" s="31">
        <v>0</v>
      </c>
      <c r="T678" s="31">
        <v>0</v>
      </c>
      <c r="U678" s="31">
        <v>0</v>
      </c>
      <c r="V678" s="31">
        <v>0</v>
      </c>
      <c r="W678" s="31">
        <v>0</v>
      </c>
      <c r="X678" s="31">
        <v>0</v>
      </c>
      <c r="Y678" s="31">
        <v>0</v>
      </c>
      <c r="Z678" s="31">
        <v>0</v>
      </c>
      <c r="AA678" s="31">
        <v>0</v>
      </c>
      <c r="AB678" s="31">
        <v>0</v>
      </c>
      <c r="AC678" s="31">
        <v>0</v>
      </c>
      <c r="AD678" s="31">
        <v>100000</v>
      </c>
      <c r="AE678" s="31">
        <v>0</v>
      </c>
      <c r="AF678" s="34">
        <v>2021</v>
      </c>
      <c r="AG678" s="34" t="s">
        <v>274</v>
      </c>
      <c r="AH678" s="35" t="s">
        <v>274</v>
      </c>
      <c r="BZ678" s="71"/>
      <c r="CD678" s="20" t="e">
        <f t="shared" si="126"/>
        <v>#N/A</v>
      </c>
    </row>
    <row r="679" spans="1:82" ht="61.5" x14ac:dyDescent="0.85">
      <c r="A679" s="20">
        <v>1</v>
      </c>
      <c r="B679" s="66">
        <f>SUBTOTAL(103,$A$554:A679)</f>
        <v>126</v>
      </c>
      <c r="C679" s="24" t="s">
        <v>622</v>
      </c>
      <c r="D679" s="31">
        <f t="shared" si="127"/>
        <v>100000</v>
      </c>
      <c r="E679" s="31">
        <v>0</v>
      </c>
      <c r="F679" s="31">
        <v>0</v>
      </c>
      <c r="G679" s="31">
        <v>0</v>
      </c>
      <c r="H679" s="31">
        <v>0</v>
      </c>
      <c r="I679" s="31">
        <v>0</v>
      </c>
      <c r="J679" s="31">
        <v>0</v>
      </c>
      <c r="K679" s="33">
        <v>0</v>
      </c>
      <c r="L679" s="31">
        <v>0</v>
      </c>
      <c r="M679" s="31">
        <v>0</v>
      </c>
      <c r="N679" s="31">
        <v>0</v>
      </c>
      <c r="O679" s="31">
        <v>0</v>
      </c>
      <c r="P679" s="31">
        <v>0</v>
      </c>
      <c r="Q679" s="31">
        <v>0</v>
      </c>
      <c r="R679" s="31">
        <v>0</v>
      </c>
      <c r="S679" s="31">
        <v>0</v>
      </c>
      <c r="T679" s="31">
        <v>0</v>
      </c>
      <c r="U679" s="31">
        <v>0</v>
      </c>
      <c r="V679" s="31">
        <v>0</v>
      </c>
      <c r="W679" s="31">
        <v>0</v>
      </c>
      <c r="X679" s="31">
        <v>0</v>
      </c>
      <c r="Y679" s="31">
        <v>0</v>
      </c>
      <c r="Z679" s="31">
        <v>0</v>
      </c>
      <c r="AA679" s="31">
        <v>0</v>
      </c>
      <c r="AB679" s="31">
        <v>0</v>
      </c>
      <c r="AC679" s="31">
        <v>0</v>
      </c>
      <c r="AD679" s="31">
        <v>100000</v>
      </c>
      <c r="AE679" s="31">
        <v>0</v>
      </c>
      <c r="AF679" s="34">
        <v>2021</v>
      </c>
      <c r="AG679" s="34" t="s">
        <v>274</v>
      </c>
      <c r="AH679" s="35" t="s">
        <v>274</v>
      </c>
      <c r="BZ679" s="71"/>
      <c r="CD679" s="20" t="e">
        <f t="shared" si="126"/>
        <v>#N/A</v>
      </c>
    </row>
    <row r="680" spans="1:82" ht="61.5" x14ac:dyDescent="0.85">
      <c r="A680" s="20">
        <v>1</v>
      </c>
      <c r="B680" s="66">
        <f>SUBTOTAL(103,$A$554:A680)</f>
        <v>127</v>
      </c>
      <c r="C680" s="24" t="s">
        <v>1670</v>
      </c>
      <c r="D680" s="31">
        <f t="shared" si="127"/>
        <v>100000</v>
      </c>
      <c r="E680" s="31">
        <v>0</v>
      </c>
      <c r="F680" s="31">
        <v>0</v>
      </c>
      <c r="G680" s="31">
        <v>0</v>
      </c>
      <c r="H680" s="31">
        <v>0</v>
      </c>
      <c r="I680" s="31">
        <v>0</v>
      </c>
      <c r="J680" s="31">
        <v>0</v>
      </c>
      <c r="K680" s="33">
        <v>0</v>
      </c>
      <c r="L680" s="31">
        <v>0</v>
      </c>
      <c r="M680" s="31">
        <v>0</v>
      </c>
      <c r="N680" s="31">
        <v>0</v>
      </c>
      <c r="O680" s="31">
        <v>0</v>
      </c>
      <c r="P680" s="31">
        <v>0</v>
      </c>
      <c r="Q680" s="31">
        <v>0</v>
      </c>
      <c r="R680" s="31">
        <v>0</v>
      </c>
      <c r="S680" s="31">
        <v>0</v>
      </c>
      <c r="T680" s="31">
        <v>0</v>
      </c>
      <c r="U680" s="31">
        <v>0</v>
      </c>
      <c r="V680" s="31">
        <v>0</v>
      </c>
      <c r="W680" s="31">
        <v>0</v>
      </c>
      <c r="X680" s="31">
        <v>0</v>
      </c>
      <c r="Y680" s="31">
        <v>0</v>
      </c>
      <c r="Z680" s="31">
        <v>0</v>
      </c>
      <c r="AA680" s="31">
        <v>0</v>
      </c>
      <c r="AB680" s="31">
        <v>0</v>
      </c>
      <c r="AC680" s="31">
        <v>0</v>
      </c>
      <c r="AD680" s="31">
        <v>100000</v>
      </c>
      <c r="AE680" s="31">
        <v>0</v>
      </c>
      <c r="AF680" s="34">
        <v>2021</v>
      </c>
      <c r="AG680" s="34" t="s">
        <v>274</v>
      </c>
      <c r="AH680" s="35" t="s">
        <v>274</v>
      </c>
      <c r="BZ680" s="71"/>
      <c r="CD680" s="20" t="e">
        <f t="shared" si="126"/>
        <v>#N/A</v>
      </c>
    </row>
    <row r="681" spans="1:82" ht="61.5" x14ac:dyDescent="0.85">
      <c r="A681" s="20">
        <v>1</v>
      </c>
      <c r="B681" s="66">
        <f>SUBTOTAL(103,$A$554:A681)</f>
        <v>128</v>
      </c>
      <c r="C681" s="24" t="s">
        <v>623</v>
      </c>
      <c r="D681" s="31">
        <f t="shared" si="127"/>
        <v>100000</v>
      </c>
      <c r="E681" s="31">
        <v>0</v>
      </c>
      <c r="F681" s="31">
        <v>0</v>
      </c>
      <c r="G681" s="31">
        <v>0</v>
      </c>
      <c r="H681" s="31">
        <v>0</v>
      </c>
      <c r="I681" s="31">
        <v>0</v>
      </c>
      <c r="J681" s="31">
        <v>0</v>
      </c>
      <c r="K681" s="33">
        <v>0</v>
      </c>
      <c r="L681" s="31">
        <v>0</v>
      </c>
      <c r="M681" s="31">
        <v>0</v>
      </c>
      <c r="N681" s="31">
        <v>0</v>
      </c>
      <c r="O681" s="31">
        <v>0</v>
      </c>
      <c r="P681" s="31">
        <v>0</v>
      </c>
      <c r="Q681" s="31">
        <v>0</v>
      </c>
      <c r="R681" s="31">
        <v>0</v>
      </c>
      <c r="S681" s="31">
        <v>0</v>
      </c>
      <c r="T681" s="31">
        <v>0</v>
      </c>
      <c r="U681" s="31">
        <v>0</v>
      </c>
      <c r="V681" s="31">
        <v>0</v>
      </c>
      <c r="W681" s="31">
        <v>0</v>
      </c>
      <c r="X681" s="31">
        <v>0</v>
      </c>
      <c r="Y681" s="31">
        <v>0</v>
      </c>
      <c r="Z681" s="31">
        <v>0</v>
      </c>
      <c r="AA681" s="31">
        <v>0</v>
      </c>
      <c r="AB681" s="31">
        <v>0</v>
      </c>
      <c r="AC681" s="31">
        <v>0</v>
      </c>
      <c r="AD681" s="31">
        <v>100000</v>
      </c>
      <c r="AE681" s="31">
        <v>0</v>
      </c>
      <c r="AF681" s="34">
        <v>2021</v>
      </c>
      <c r="AG681" s="34" t="s">
        <v>274</v>
      </c>
      <c r="AH681" s="35" t="s">
        <v>274</v>
      </c>
      <c r="BZ681" s="71"/>
      <c r="CD681" s="20" t="e">
        <f t="shared" si="126"/>
        <v>#N/A</v>
      </c>
    </row>
    <row r="682" spans="1:82" ht="61.5" x14ac:dyDescent="0.85">
      <c r="A682" s="20">
        <v>1</v>
      </c>
      <c r="B682" s="66">
        <f>SUBTOTAL(103,$A$554:A682)</f>
        <v>129</v>
      </c>
      <c r="C682" s="24" t="s">
        <v>624</v>
      </c>
      <c r="D682" s="31">
        <f t="shared" si="127"/>
        <v>100000</v>
      </c>
      <c r="E682" s="31">
        <v>0</v>
      </c>
      <c r="F682" s="31">
        <v>0</v>
      </c>
      <c r="G682" s="31">
        <v>0</v>
      </c>
      <c r="H682" s="31">
        <v>0</v>
      </c>
      <c r="I682" s="31">
        <v>0</v>
      </c>
      <c r="J682" s="31">
        <v>0</v>
      </c>
      <c r="K682" s="33">
        <v>0</v>
      </c>
      <c r="L682" s="31">
        <v>0</v>
      </c>
      <c r="M682" s="31">
        <v>0</v>
      </c>
      <c r="N682" s="31">
        <v>0</v>
      </c>
      <c r="O682" s="31">
        <v>0</v>
      </c>
      <c r="P682" s="31">
        <v>0</v>
      </c>
      <c r="Q682" s="31">
        <v>0</v>
      </c>
      <c r="R682" s="31">
        <v>0</v>
      </c>
      <c r="S682" s="31">
        <v>0</v>
      </c>
      <c r="T682" s="31">
        <v>0</v>
      </c>
      <c r="U682" s="31">
        <v>0</v>
      </c>
      <c r="V682" s="31">
        <v>0</v>
      </c>
      <c r="W682" s="31">
        <v>0</v>
      </c>
      <c r="X682" s="31">
        <v>0</v>
      </c>
      <c r="Y682" s="31">
        <v>0</v>
      </c>
      <c r="Z682" s="31">
        <v>0</v>
      </c>
      <c r="AA682" s="31">
        <v>0</v>
      </c>
      <c r="AB682" s="31">
        <v>0</v>
      </c>
      <c r="AC682" s="31">
        <v>0</v>
      </c>
      <c r="AD682" s="31">
        <v>100000</v>
      </c>
      <c r="AE682" s="31">
        <v>0</v>
      </c>
      <c r="AF682" s="34">
        <v>2021</v>
      </c>
      <c r="AG682" s="34" t="s">
        <v>274</v>
      </c>
      <c r="AH682" s="35" t="s">
        <v>274</v>
      </c>
      <c r="BZ682" s="71"/>
      <c r="CD682" s="20" t="e">
        <f t="shared" si="126"/>
        <v>#N/A</v>
      </c>
    </row>
    <row r="683" spans="1:82" ht="61.5" x14ac:dyDescent="0.85">
      <c r="A683" s="20">
        <v>1</v>
      </c>
      <c r="B683" s="66">
        <f>SUBTOTAL(103,$A$554:A683)</f>
        <v>130</v>
      </c>
      <c r="C683" s="24" t="s">
        <v>625</v>
      </c>
      <c r="D683" s="31">
        <f t="shared" si="127"/>
        <v>100000</v>
      </c>
      <c r="E683" s="31">
        <v>0</v>
      </c>
      <c r="F683" s="31">
        <v>0</v>
      </c>
      <c r="G683" s="31">
        <v>0</v>
      </c>
      <c r="H683" s="31">
        <v>0</v>
      </c>
      <c r="I683" s="31">
        <v>0</v>
      </c>
      <c r="J683" s="31">
        <v>0</v>
      </c>
      <c r="K683" s="33">
        <v>0</v>
      </c>
      <c r="L683" s="31">
        <v>0</v>
      </c>
      <c r="M683" s="31">
        <v>0</v>
      </c>
      <c r="N683" s="31">
        <v>0</v>
      </c>
      <c r="O683" s="31">
        <v>0</v>
      </c>
      <c r="P683" s="31">
        <v>0</v>
      </c>
      <c r="Q683" s="31">
        <v>0</v>
      </c>
      <c r="R683" s="31">
        <v>0</v>
      </c>
      <c r="S683" s="31">
        <v>0</v>
      </c>
      <c r="T683" s="31">
        <v>0</v>
      </c>
      <c r="U683" s="31">
        <v>0</v>
      </c>
      <c r="V683" s="31">
        <v>0</v>
      </c>
      <c r="W683" s="31">
        <v>0</v>
      </c>
      <c r="X683" s="31">
        <v>0</v>
      </c>
      <c r="Y683" s="31">
        <v>0</v>
      </c>
      <c r="Z683" s="31">
        <v>0</v>
      </c>
      <c r="AA683" s="31">
        <v>0</v>
      </c>
      <c r="AB683" s="31">
        <v>0</v>
      </c>
      <c r="AC683" s="31">
        <v>0</v>
      </c>
      <c r="AD683" s="31">
        <v>100000</v>
      </c>
      <c r="AE683" s="31">
        <v>0</v>
      </c>
      <c r="AF683" s="34">
        <v>2021</v>
      </c>
      <c r="AG683" s="34" t="s">
        <v>274</v>
      </c>
      <c r="AH683" s="35" t="s">
        <v>274</v>
      </c>
      <c r="BZ683" s="71"/>
      <c r="CD683" s="20" t="e">
        <f t="shared" si="126"/>
        <v>#N/A</v>
      </c>
    </row>
    <row r="684" spans="1:82" ht="61.5" x14ac:dyDescent="0.85">
      <c r="A684" s="20">
        <v>1</v>
      </c>
      <c r="B684" s="66">
        <f>SUBTOTAL(103,$A$554:A684)</f>
        <v>131</v>
      </c>
      <c r="C684" s="24" t="s">
        <v>626</v>
      </c>
      <c r="D684" s="31">
        <f t="shared" si="127"/>
        <v>100000</v>
      </c>
      <c r="E684" s="31">
        <v>0</v>
      </c>
      <c r="F684" s="31">
        <v>0</v>
      </c>
      <c r="G684" s="31">
        <v>0</v>
      </c>
      <c r="H684" s="31">
        <v>0</v>
      </c>
      <c r="I684" s="31">
        <v>0</v>
      </c>
      <c r="J684" s="31">
        <v>0</v>
      </c>
      <c r="K684" s="33">
        <v>0</v>
      </c>
      <c r="L684" s="31">
        <v>0</v>
      </c>
      <c r="M684" s="31">
        <v>0</v>
      </c>
      <c r="N684" s="31">
        <v>0</v>
      </c>
      <c r="O684" s="31">
        <v>0</v>
      </c>
      <c r="P684" s="31">
        <v>0</v>
      </c>
      <c r="Q684" s="31">
        <v>0</v>
      </c>
      <c r="R684" s="31">
        <v>0</v>
      </c>
      <c r="S684" s="31">
        <v>0</v>
      </c>
      <c r="T684" s="31">
        <v>0</v>
      </c>
      <c r="U684" s="31">
        <v>0</v>
      </c>
      <c r="V684" s="31">
        <v>0</v>
      </c>
      <c r="W684" s="31">
        <v>0</v>
      </c>
      <c r="X684" s="31">
        <v>0</v>
      </c>
      <c r="Y684" s="31">
        <v>0</v>
      </c>
      <c r="Z684" s="31">
        <v>0</v>
      </c>
      <c r="AA684" s="31">
        <v>0</v>
      </c>
      <c r="AB684" s="31">
        <v>0</v>
      </c>
      <c r="AC684" s="31">
        <v>0</v>
      </c>
      <c r="AD684" s="31">
        <v>100000</v>
      </c>
      <c r="AE684" s="31">
        <v>0</v>
      </c>
      <c r="AF684" s="34">
        <v>2021</v>
      </c>
      <c r="AG684" s="34" t="s">
        <v>274</v>
      </c>
      <c r="AH684" s="35" t="s">
        <v>274</v>
      </c>
      <c r="BZ684" s="71"/>
      <c r="CD684" s="20" t="e">
        <f t="shared" si="126"/>
        <v>#N/A</v>
      </c>
    </row>
    <row r="685" spans="1:82" ht="61.5" x14ac:dyDescent="0.85">
      <c r="A685" s="20">
        <v>1</v>
      </c>
      <c r="B685" s="66">
        <f>SUBTOTAL(103,$A$554:A685)</f>
        <v>132</v>
      </c>
      <c r="C685" s="24" t="s">
        <v>507</v>
      </c>
      <c r="D685" s="31">
        <f t="shared" si="127"/>
        <v>80000</v>
      </c>
      <c r="E685" s="31">
        <v>0</v>
      </c>
      <c r="F685" s="31">
        <v>0</v>
      </c>
      <c r="G685" s="31">
        <v>0</v>
      </c>
      <c r="H685" s="31">
        <v>0</v>
      </c>
      <c r="I685" s="31">
        <v>0</v>
      </c>
      <c r="J685" s="31">
        <v>0</v>
      </c>
      <c r="K685" s="33">
        <v>0</v>
      </c>
      <c r="L685" s="31">
        <v>0</v>
      </c>
      <c r="M685" s="31">
        <v>0</v>
      </c>
      <c r="N685" s="31">
        <v>0</v>
      </c>
      <c r="O685" s="31">
        <v>0</v>
      </c>
      <c r="P685" s="31">
        <v>0</v>
      </c>
      <c r="Q685" s="31">
        <v>0</v>
      </c>
      <c r="R685" s="31">
        <v>0</v>
      </c>
      <c r="S685" s="31">
        <v>0</v>
      </c>
      <c r="T685" s="31">
        <v>0</v>
      </c>
      <c r="U685" s="31">
        <v>0</v>
      </c>
      <c r="V685" s="31">
        <v>0</v>
      </c>
      <c r="W685" s="31">
        <v>0</v>
      </c>
      <c r="X685" s="31">
        <v>0</v>
      </c>
      <c r="Y685" s="31">
        <v>0</v>
      </c>
      <c r="Z685" s="31">
        <v>0</v>
      </c>
      <c r="AA685" s="31">
        <v>0</v>
      </c>
      <c r="AB685" s="31">
        <v>0</v>
      </c>
      <c r="AC685" s="31">
        <v>0</v>
      </c>
      <c r="AD685" s="31">
        <v>80000</v>
      </c>
      <c r="AE685" s="31">
        <v>0</v>
      </c>
      <c r="AF685" s="34">
        <v>2021</v>
      </c>
      <c r="AG685" s="34" t="s">
        <v>274</v>
      </c>
      <c r="AH685" s="35" t="s">
        <v>274</v>
      </c>
      <c r="BZ685" s="71"/>
      <c r="CD685" s="20" t="e">
        <f t="shared" si="126"/>
        <v>#N/A</v>
      </c>
    </row>
    <row r="686" spans="1:82" ht="61.5" x14ac:dyDescent="0.85">
      <c r="A686" s="20">
        <v>1</v>
      </c>
      <c r="B686" s="66">
        <f>SUBTOTAL(103,$A$554:A686)</f>
        <v>133</v>
      </c>
      <c r="C686" s="24" t="s">
        <v>1097</v>
      </c>
      <c r="D686" s="31">
        <f t="shared" si="127"/>
        <v>100000</v>
      </c>
      <c r="E686" s="31">
        <v>0</v>
      </c>
      <c r="F686" s="31">
        <v>0</v>
      </c>
      <c r="G686" s="31">
        <v>0</v>
      </c>
      <c r="H686" s="31">
        <v>0</v>
      </c>
      <c r="I686" s="31">
        <v>0</v>
      </c>
      <c r="J686" s="31">
        <v>0</v>
      </c>
      <c r="K686" s="33">
        <v>0</v>
      </c>
      <c r="L686" s="31">
        <v>0</v>
      </c>
      <c r="M686" s="31">
        <v>0</v>
      </c>
      <c r="N686" s="31">
        <v>0</v>
      </c>
      <c r="O686" s="31">
        <v>0</v>
      </c>
      <c r="P686" s="31">
        <v>0</v>
      </c>
      <c r="Q686" s="31">
        <v>0</v>
      </c>
      <c r="R686" s="31">
        <v>0</v>
      </c>
      <c r="S686" s="31">
        <v>0</v>
      </c>
      <c r="T686" s="31">
        <v>0</v>
      </c>
      <c r="U686" s="31">
        <v>0</v>
      </c>
      <c r="V686" s="31">
        <v>0</v>
      </c>
      <c r="W686" s="31">
        <v>0</v>
      </c>
      <c r="X686" s="31">
        <v>0</v>
      </c>
      <c r="Y686" s="31">
        <v>0</v>
      </c>
      <c r="Z686" s="31">
        <v>0</v>
      </c>
      <c r="AA686" s="31">
        <v>0</v>
      </c>
      <c r="AB686" s="31">
        <v>0</v>
      </c>
      <c r="AC686" s="31">
        <v>0</v>
      </c>
      <c r="AD686" s="31">
        <v>100000</v>
      </c>
      <c r="AE686" s="31">
        <v>0</v>
      </c>
      <c r="AF686" s="34">
        <v>2021</v>
      </c>
      <c r="AG686" s="34" t="s">
        <v>274</v>
      </c>
      <c r="AH686" s="35" t="s">
        <v>274</v>
      </c>
      <c r="BZ686" s="71"/>
      <c r="CD686" s="20" t="e">
        <f t="shared" si="126"/>
        <v>#N/A</v>
      </c>
    </row>
    <row r="687" spans="1:82" ht="61.5" x14ac:dyDescent="0.85">
      <c r="B687" s="24" t="s">
        <v>781</v>
      </c>
      <c r="C687" s="166"/>
      <c r="D687" s="31">
        <f>SUM(D688:D704)</f>
        <v>58473507.189999998</v>
      </c>
      <c r="E687" s="31">
        <f t="shared" ref="E687:AE687" si="128">SUM(E688:E704)</f>
        <v>215356.42</v>
      </c>
      <c r="F687" s="31">
        <f t="shared" si="128"/>
        <v>0</v>
      </c>
      <c r="G687" s="31">
        <f t="shared" si="128"/>
        <v>2456692.4499999997</v>
      </c>
      <c r="H687" s="31">
        <f t="shared" si="128"/>
        <v>0</v>
      </c>
      <c r="I687" s="31">
        <f t="shared" si="128"/>
        <v>485121.6</v>
      </c>
      <c r="J687" s="31">
        <f t="shared" si="128"/>
        <v>0</v>
      </c>
      <c r="K687" s="33">
        <f t="shared" si="128"/>
        <v>0</v>
      </c>
      <c r="L687" s="31">
        <f t="shared" si="128"/>
        <v>0</v>
      </c>
      <c r="M687" s="31">
        <f t="shared" si="128"/>
        <v>11118.17</v>
      </c>
      <c r="N687" s="31">
        <f t="shared" si="128"/>
        <v>49952315.499999993</v>
      </c>
      <c r="O687" s="31">
        <f t="shared" si="128"/>
        <v>0</v>
      </c>
      <c r="P687" s="31">
        <f t="shared" si="128"/>
        <v>0</v>
      </c>
      <c r="Q687" s="31">
        <f t="shared" si="128"/>
        <v>848.54</v>
      </c>
      <c r="R687" s="31">
        <f t="shared" si="128"/>
        <v>2342243.7599999998</v>
      </c>
      <c r="S687" s="31">
        <f t="shared" si="128"/>
        <v>0</v>
      </c>
      <c r="T687" s="31">
        <f t="shared" si="128"/>
        <v>0</v>
      </c>
      <c r="U687" s="31">
        <f t="shared" si="128"/>
        <v>0</v>
      </c>
      <c r="V687" s="31">
        <f t="shared" si="128"/>
        <v>0</v>
      </c>
      <c r="W687" s="31">
        <f t="shared" si="128"/>
        <v>0</v>
      </c>
      <c r="X687" s="31">
        <f t="shared" si="128"/>
        <v>0</v>
      </c>
      <c r="Y687" s="31">
        <f t="shared" si="128"/>
        <v>0</v>
      </c>
      <c r="Z687" s="31">
        <f t="shared" si="128"/>
        <v>0</v>
      </c>
      <c r="AA687" s="31">
        <f t="shared" si="128"/>
        <v>0</v>
      </c>
      <c r="AB687" s="31">
        <f t="shared" si="128"/>
        <v>0</v>
      </c>
      <c r="AC687" s="31">
        <f t="shared" si="128"/>
        <v>831775.95999999985</v>
      </c>
      <c r="AD687" s="31">
        <f t="shared" si="128"/>
        <v>2190001.5</v>
      </c>
      <c r="AE687" s="31">
        <f t="shared" si="128"/>
        <v>0</v>
      </c>
      <c r="AF687" s="72" t="s">
        <v>776</v>
      </c>
      <c r="AG687" s="72" t="s">
        <v>776</v>
      </c>
      <c r="AH687" s="89" t="s">
        <v>776</v>
      </c>
      <c r="AT687" s="20" t="e">
        <f t="shared" ref="AT687:AT700" si="129">VLOOKUP(C687,AW:AX,2,FALSE)</f>
        <v>#N/A</v>
      </c>
      <c r="BZ687" s="71">
        <v>53022412.590000004</v>
      </c>
      <c r="CB687" s="71">
        <f>BZ687-D687</f>
        <v>-5451094.599999994</v>
      </c>
      <c r="CD687" s="20" t="e">
        <f t="shared" si="126"/>
        <v>#N/A</v>
      </c>
    </row>
    <row r="688" spans="1:82" ht="61.5" x14ac:dyDescent="0.85">
      <c r="A688" s="20">
        <v>1</v>
      </c>
      <c r="B688" s="66">
        <f>SUBTOTAL(103,$A$554:A688)</f>
        <v>134</v>
      </c>
      <c r="C688" s="24" t="s">
        <v>466</v>
      </c>
      <c r="D688" s="31">
        <f t="shared" ref="D688:D698" si="130">E688+F688+G688+H688+I688+J688+L688+N688+P688+R688+T688+U688+V688+W688+X688+Y688+Z688+AA688+AB688+AC688+AD688+AE688</f>
        <v>3616357.54</v>
      </c>
      <c r="E688" s="31">
        <v>0</v>
      </c>
      <c r="F688" s="31">
        <v>0</v>
      </c>
      <c r="G688" s="31">
        <v>0</v>
      </c>
      <c r="H688" s="31">
        <v>0</v>
      </c>
      <c r="I688" s="31">
        <v>0</v>
      </c>
      <c r="J688" s="31">
        <v>0</v>
      </c>
      <c r="K688" s="33">
        <v>0</v>
      </c>
      <c r="L688" s="31">
        <v>0</v>
      </c>
      <c r="M688" s="31">
        <v>620.9</v>
      </c>
      <c r="N688" s="31">
        <v>3415130.58</v>
      </c>
      <c r="O688" s="31">
        <v>0</v>
      </c>
      <c r="P688" s="31">
        <v>0</v>
      </c>
      <c r="Q688" s="31">
        <v>0</v>
      </c>
      <c r="R688" s="31">
        <v>0</v>
      </c>
      <c r="S688" s="31">
        <v>0</v>
      </c>
      <c r="T688" s="31">
        <v>0</v>
      </c>
      <c r="U688" s="31">
        <v>0</v>
      </c>
      <c r="V688" s="31">
        <v>0</v>
      </c>
      <c r="W688" s="31">
        <v>0</v>
      </c>
      <c r="X688" s="31">
        <v>0</v>
      </c>
      <c r="Y688" s="31">
        <v>0</v>
      </c>
      <c r="Z688" s="31">
        <v>0</v>
      </c>
      <c r="AA688" s="31">
        <v>0</v>
      </c>
      <c r="AB688" s="31">
        <v>0</v>
      </c>
      <c r="AC688" s="31">
        <f>ROUND(N688*1.5%,2)</f>
        <v>51226.96</v>
      </c>
      <c r="AD688" s="31">
        <v>150000</v>
      </c>
      <c r="AE688" s="31">
        <v>0</v>
      </c>
      <c r="AF688" s="34">
        <v>2021</v>
      </c>
      <c r="AG688" s="34">
        <v>2021</v>
      </c>
      <c r="AH688" s="35">
        <v>2021</v>
      </c>
      <c r="AT688" s="20" t="e">
        <f t="shared" si="129"/>
        <v>#N/A</v>
      </c>
      <c r="BZ688" s="71"/>
      <c r="CD688" s="20" t="e">
        <f t="shared" si="126"/>
        <v>#N/A</v>
      </c>
    </row>
    <row r="689" spans="1:82" ht="61.5" x14ac:dyDescent="0.85">
      <c r="A689" s="20">
        <v>1</v>
      </c>
      <c r="B689" s="66">
        <f>SUBTOTAL(103,$A$554:A689)</f>
        <v>135</v>
      </c>
      <c r="C689" s="24" t="s">
        <v>467</v>
      </c>
      <c r="D689" s="31">
        <f t="shared" si="130"/>
        <v>1638422.64</v>
      </c>
      <c r="E689" s="31">
        <v>0</v>
      </c>
      <c r="F689" s="31">
        <v>0</v>
      </c>
      <c r="G689" s="31">
        <v>0</v>
      </c>
      <c r="H689" s="31">
        <v>0</v>
      </c>
      <c r="I689" s="31">
        <v>0</v>
      </c>
      <c r="J689" s="31">
        <v>0</v>
      </c>
      <c r="K689" s="33">
        <v>0</v>
      </c>
      <c r="L689" s="31">
        <v>0</v>
      </c>
      <c r="M689" s="31">
        <v>0</v>
      </c>
      <c r="N689" s="31">
        <v>0</v>
      </c>
      <c r="O689" s="31">
        <v>0</v>
      </c>
      <c r="P689" s="31">
        <v>0</v>
      </c>
      <c r="Q689" s="31">
        <v>439.04</v>
      </c>
      <c r="R689" s="31">
        <v>1486130.68</v>
      </c>
      <c r="S689" s="31">
        <v>0</v>
      </c>
      <c r="T689" s="31">
        <v>0</v>
      </c>
      <c r="U689" s="31">
        <v>0</v>
      </c>
      <c r="V689" s="31">
        <v>0</v>
      </c>
      <c r="W689" s="31">
        <v>0</v>
      </c>
      <c r="X689" s="31">
        <v>0</v>
      </c>
      <c r="Y689" s="31">
        <v>0</v>
      </c>
      <c r="Z689" s="31">
        <v>0</v>
      </c>
      <c r="AA689" s="31">
        <v>0</v>
      </c>
      <c r="AB689" s="31">
        <v>0</v>
      </c>
      <c r="AC689" s="31">
        <f>ROUND(R689*1.5%,2)</f>
        <v>22291.96</v>
      </c>
      <c r="AD689" s="31">
        <v>130000</v>
      </c>
      <c r="AE689" s="31">
        <v>0</v>
      </c>
      <c r="AF689" s="34">
        <v>2021</v>
      </c>
      <c r="AG689" s="34">
        <v>2021</v>
      </c>
      <c r="AH689" s="35">
        <v>2021</v>
      </c>
      <c r="AT689" s="20" t="e">
        <f t="shared" si="129"/>
        <v>#N/A</v>
      </c>
      <c r="BZ689" s="71"/>
      <c r="CD689" s="20" t="e">
        <f t="shared" si="126"/>
        <v>#N/A</v>
      </c>
    </row>
    <row r="690" spans="1:82" ht="61.5" x14ac:dyDescent="0.85">
      <c r="A690" s="20">
        <v>1</v>
      </c>
      <c r="B690" s="66">
        <f>SUBTOTAL(103,$A$554:A690)</f>
        <v>136</v>
      </c>
      <c r="C690" s="24" t="s">
        <v>468</v>
      </c>
      <c r="D690" s="31">
        <f t="shared" si="130"/>
        <v>4857938</v>
      </c>
      <c r="E690" s="31">
        <v>0</v>
      </c>
      <c r="F690" s="31">
        <v>0</v>
      </c>
      <c r="G690" s="31">
        <v>0</v>
      </c>
      <c r="H690" s="31">
        <v>0</v>
      </c>
      <c r="I690" s="31">
        <v>0</v>
      </c>
      <c r="J690" s="31">
        <v>0</v>
      </c>
      <c r="K690" s="33">
        <v>0</v>
      </c>
      <c r="L690" s="31">
        <v>0</v>
      </c>
      <c r="M690" s="31">
        <v>886</v>
      </c>
      <c r="N690" s="31">
        <v>4638362.5599999996</v>
      </c>
      <c r="O690" s="31">
        <v>0</v>
      </c>
      <c r="P690" s="31">
        <v>0</v>
      </c>
      <c r="Q690" s="31">
        <v>0</v>
      </c>
      <c r="R690" s="31">
        <v>0</v>
      </c>
      <c r="S690" s="31">
        <v>0</v>
      </c>
      <c r="T690" s="31">
        <v>0</v>
      </c>
      <c r="U690" s="31">
        <v>0</v>
      </c>
      <c r="V690" s="31">
        <v>0</v>
      </c>
      <c r="W690" s="31">
        <v>0</v>
      </c>
      <c r="X690" s="31">
        <v>0</v>
      </c>
      <c r="Y690" s="31">
        <v>0</v>
      </c>
      <c r="Z690" s="31">
        <v>0</v>
      </c>
      <c r="AA690" s="31">
        <v>0</v>
      </c>
      <c r="AB690" s="31">
        <v>0</v>
      </c>
      <c r="AC690" s="31">
        <f>ROUND(N690*1.5%,2)</f>
        <v>69575.44</v>
      </c>
      <c r="AD690" s="31">
        <v>150000</v>
      </c>
      <c r="AE690" s="31">
        <v>0</v>
      </c>
      <c r="AF690" s="34">
        <v>2021</v>
      </c>
      <c r="AG690" s="34">
        <v>2021</v>
      </c>
      <c r="AH690" s="35">
        <v>2021</v>
      </c>
      <c r="AT690" s="20" t="e">
        <f t="shared" si="129"/>
        <v>#N/A</v>
      </c>
      <c r="BZ690" s="71"/>
      <c r="CD690" s="20" t="e">
        <f t="shared" si="126"/>
        <v>#N/A</v>
      </c>
    </row>
    <row r="691" spans="1:82" ht="61.5" x14ac:dyDescent="0.85">
      <c r="A691" s="20">
        <v>1</v>
      </c>
      <c r="B691" s="66">
        <f>SUBTOTAL(103,$A$554:A691)</f>
        <v>137</v>
      </c>
      <c r="C691" s="24" t="s">
        <v>469</v>
      </c>
      <c r="D691" s="31">
        <f t="shared" si="130"/>
        <v>3345121.12</v>
      </c>
      <c r="E691" s="31">
        <v>0</v>
      </c>
      <c r="F691" s="31">
        <v>0</v>
      </c>
      <c r="G691" s="31">
        <v>0</v>
      </c>
      <c r="H691" s="31">
        <v>0</v>
      </c>
      <c r="I691" s="31">
        <v>0</v>
      </c>
      <c r="J691" s="31">
        <v>0</v>
      </c>
      <c r="K691" s="33">
        <v>0</v>
      </c>
      <c r="L691" s="31">
        <v>0</v>
      </c>
      <c r="M691" s="31">
        <v>604</v>
      </c>
      <c r="N691" s="31">
        <v>3147902.58</v>
      </c>
      <c r="O691" s="31">
        <v>0</v>
      </c>
      <c r="P691" s="31">
        <v>0</v>
      </c>
      <c r="Q691" s="31">
        <v>0</v>
      </c>
      <c r="R691" s="31">
        <v>0</v>
      </c>
      <c r="S691" s="31">
        <v>0</v>
      </c>
      <c r="T691" s="31">
        <v>0</v>
      </c>
      <c r="U691" s="31">
        <v>0</v>
      </c>
      <c r="V691" s="31">
        <v>0</v>
      </c>
      <c r="W691" s="31">
        <v>0</v>
      </c>
      <c r="X691" s="31">
        <v>0</v>
      </c>
      <c r="Y691" s="31">
        <v>0</v>
      </c>
      <c r="Z691" s="31">
        <v>0</v>
      </c>
      <c r="AA691" s="31">
        <v>0</v>
      </c>
      <c r="AB691" s="31">
        <v>0</v>
      </c>
      <c r="AC691" s="31">
        <f>ROUND(N691*1.5%,2)</f>
        <v>47218.54</v>
      </c>
      <c r="AD691" s="31">
        <v>150000</v>
      </c>
      <c r="AE691" s="31">
        <v>0</v>
      </c>
      <c r="AF691" s="34">
        <v>2021</v>
      </c>
      <c r="AG691" s="34">
        <v>2021</v>
      </c>
      <c r="AH691" s="35">
        <v>2021</v>
      </c>
      <c r="AT691" s="20" t="e">
        <f t="shared" si="129"/>
        <v>#N/A</v>
      </c>
      <c r="BZ691" s="71"/>
      <c r="CD691" s="20" t="e">
        <f t="shared" si="126"/>
        <v>#N/A</v>
      </c>
    </row>
    <row r="692" spans="1:82" ht="61.5" x14ac:dyDescent="0.85">
      <c r="A692" s="20">
        <v>1</v>
      </c>
      <c r="B692" s="66">
        <f>SUBTOTAL(103,$A$554:A692)</f>
        <v>138</v>
      </c>
      <c r="C692" s="24" t="s">
        <v>470</v>
      </c>
      <c r="D692" s="31">
        <f t="shared" si="130"/>
        <v>3345121.12</v>
      </c>
      <c r="E692" s="31">
        <v>0</v>
      </c>
      <c r="F692" s="31">
        <v>0</v>
      </c>
      <c r="G692" s="31">
        <v>0</v>
      </c>
      <c r="H692" s="31">
        <v>0</v>
      </c>
      <c r="I692" s="31">
        <v>0</v>
      </c>
      <c r="J692" s="31">
        <v>0</v>
      </c>
      <c r="K692" s="33">
        <v>0</v>
      </c>
      <c r="L692" s="31">
        <v>0</v>
      </c>
      <c r="M692" s="31">
        <v>604</v>
      </c>
      <c r="N692" s="31">
        <v>3147902.58</v>
      </c>
      <c r="O692" s="31">
        <v>0</v>
      </c>
      <c r="P692" s="31">
        <v>0</v>
      </c>
      <c r="Q692" s="31">
        <v>0</v>
      </c>
      <c r="R692" s="31">
        <v>0</v>
      </c>
      <c r="S692" s="31">
        <v>0</v>
      </c>
      <c r="T692" s="31">
        <v>0</v>
      </c>
      <c r="U692" s="31">
        <v>0</v>
      </c>
      <c r="V692" s="31">
        <v>0</v>
      </c>
      <c r="W692" s="31">
        <v>0</v>
      </c>
      <c r="X692" s="31">
        <v>0</v>
      </c>
      <c r="Y692" s="31">
        <v>0</v>
      </c>
      <c r="Z692" s="31">
        <v>0</v>
      </c>
      <c r="AA692" s="31">
        <v>0</v>
      </c>
      <c r="AB692" s="31">
        <v>0</v>
      </c>
      <c r="AC692" s="31">
        <f>ROUND(N692*1.5%,2)</f>
        <v>47218.54</v>
      </c>
      <c r="AD692" s="31">
        <v>150000</v>
      </c>
      <c r="AE692" s="31">
        <v>0</v>
      </c>
      <c r="AF692" s="34">
        <v>2021</v>
      </c>
      <c r="AG692" s="34">
        <v>2021</v>
      </c>
      <c r="AH692" s="35">
        <v>2021</v>
      </c>
      <c r="AT692" s="20" t="e">
        <f t="shared" si="129"/>
        <v>#N/A</v>
      </c>
      <c r="BZ692" s="71"/>
      <c r="CD692" s="20" t="e">
        <f t="shared" si="126"/>
        <v>#N/A</v>
      </c>
    </row>
    <row r="693" spans="1:82" ht="61.5" x14ac:dyDescent="0.85">
      <c r="A693" s="20">
        <v>1</v>
      </c>
      <c r="B693" s="66">
        <f>SUBTOTAL(103,$A$554:A693)</f>
        <v>139</v>
      </c>
      <c r="C693" s="24" t="s">
        <v>471</v>
      </c>
      <c r="D693" s="31">
        <f t="shared" si="130"/>
        <v>3589208.68</v>
      </c>
      <c r="E693" s="31">
        <v>0</v>
      </c>
      <c r="F693" s="31">
        <v>0</v>
      </c>
      <c r="G693" s="31">
        <v>0</v>
      </c>
      <c r="H693" s="31">
        <v>0</v>
      </c>
      <c r="I693" s="31">
        <v>0</v>
      </c>
      <c r="J693" s="31">
        <v>0</v>
      </c>
      <c r="K693" s="33">
        <v>0</v>
      </c>
      <c r="L693" s="31">
        <v>0</v>
      </c>
      <c r="M693" s="31">
        <v>723.24</v>
      </c>
      <c r="N693" s="31">
        <v>3388382.94</v>
      </c>
      <c r="O693" s="31">
        <v>0</v>
      </c>
      <c r="P693" s="31">
        <v>0</v>
      </c>
      <c r="Q693" s="31">
        <v>0</v>
      </c>
      <c r="R693" s="31">
        <v>0</v>
      </c>
      <c r="S693" s="31">
        <v>0</v>
      </c>
      <c r="T693" s="31">
        <v>0</v>
      </c>
      <c r="U693" s="31">
        <v>0</v>
      </c>
      <c r="V693" s="31">
        <v>0</v>
      </c>
      <c r="W693" s="31">
        <v>0</v>
      </c>
      <c r="X693" s="31">
        <v>0</v>
      </c>
      <c r="Y693" s="31">
        <v>0</v>
      </c>
      <c r="Z693" s="31">
        <v>0</v>
      </c>
      <c r="AA693" s="31">
        <v>0</v>
      </c>
      <c r="AB693" s="31">
        <v>0</v>
      </c>
      <c r="AC693" s="31">
        <f>ROUND(N693*1.5%,2)</f>
        <v>50825.74</v>
      </c>
      <c r="AD693" s="31">
        <v>150000</v>
      </c>
      <c r="AE693" s="31">
        <v>0</v>
      </c>
      <c r="AF693" s="34">
        <v>2021</v>
      </c>
      <c r="AG693" s="34">
        <v>2021</v>
      </c>
      <c r="AH693" s="35">
        <v>2021</v>
      </c>
      <c r="AT693" s="20" t="e">
        <f t="shared" si="129"/>
        <v>#N/A</v>
      </c>
      <c r="BZ693" s="71"/>
      <c r="CD693" s="20" t="e">
        <f t="shared" si="126"/>
        <v>#N/A</v>
      </c>
    </row>
    <row r="694" spans="1:82" ht="61.5" x14ac:dyDescent="0.85">
      <c r="A694" s="20">
        <v>1</v>
      </c>
      <c r="B694" s="66">
        <f>SUBTOTAL(103,$A$554:A694)</f>
        <v>140</v>
      </c>
      <c r="C694" s="24" t="s">
        <v>472</v>
      </c>
      <c r="D694" s="31">
        <f t="shared" si="130"/>
        <v>998954.77999999991</v>
      </c>
      <c r="E694" s="31">
        <v>0</v>
      </c>
      <c r="F694" s="31">
        <v>0</v>
      </c>
      <c r="G694" s="31">
        <v>0</v>
      </c>
      <c r="H694" s="31">
        <v>0</v>
      </c>
      <c r="I694" s="31">
        <v>0</v>
      </c>
      <c r="J694" s="31">
        <v>0</v>
      </c>
      <c r="K694" s="33">
        <v>0</v>
      </c>
      <c r="L694" s="31">
        <v>0</v>
      </c>
      <c r="M694" s="31">
        <v>0</v>
      </c>
      <c r="N694" s="31">
        <v>0</v>
      </c>
      <c r="O694" s="31">
        <v>0</v>
      </c>
      <c r="P694" s="31">
        <v>0</v>
      </c>
      <c r="Q694" s="31">
        <v>409.5</v>
      </c>
      <c r="R694" s="31">
        <v>856113.08</v>
      </c>
      <c r="S694" s="31">
        <v>0</v>
      </c>
      <c r="T694" s="31">
        <v>0</v>
      </c>
      <c r="U694" s="31">
        <v>0</v>
      </c>
      <c r="V694" s="31">
        <v>0</v>
      </c>
      <c r="W694" s="31">
        <v>0</v>
      </c>
      <c r="X694" s="31">
        <v>0</v>
      </c>
      <c r="Y694" s="31">
        <v>0</v>
      </c>
      <c r="Z694" s="31">
        <v>0</v>
      </c>
      <c r="AA694" s="31">
        <v>0</v>
      </c>
      <c r="AB694" s="31">
        <v>0</v>
      </c>
      <c r="AC694" s="31">
        <f>ROUND(R694*1.5%,2)</f>
        <v>12841.7</v>
      </c>
      <c r="AD694" s="31">
        <v>130000</v>
      </c>
      <c r="AE694" s="31">
        <v>0</v>
      </c>
      <c r="AF694" s="34">
        <v>2021</v>
      </c>
      <c r="AG694" s="34">
        <v>2021</v>
      </c>
      <c r="AH694" s="35">
        <v>2021</v>
      </c>
      <c r="AT694" s="20" t="e">
        <f t="shared" si="129"/>
        <v>#N/A</v>
      </c>
      <c r="BZ694" s="71"/>
      <c r="CD694" s="20" t="e">
        <f t="shared" si="126"/>
        <v>#N/A</v>
      </c>
    </row>
    <row r="695" spans="1:82" ht="61.5" x14ac:dyDescent="0.85">
      <c r="A695" s="20">
        <v>1</v>
      </c>
      <c r="B695" s="66">
        <f>SUBTOTAL(103,$A$554:A695)</f>
        <v>141</v>
      </c>
      <c r="C695" s="24" t="s">
        <v>475</v>
      </c>
      <c r="D695" s="31">
        <f t="shared" si="130"/>
        <v>3504528.03</v>
      </c>
      <c r="E695" s="31">
        <f>177249.6+38106.82</f>
        <v>215356.42</v>
      </c>
      <c r="F695" s="31">
        <v>0</v>
      </c>
      <c r="G695" s="31">
        <v>2456692.4499999997</v>
      </c>
      <c r="H695" s="31">
        <v>0</v>
      </c>
      <c r="I695" s="31">
        <v>485121.6</v>
      </c>
      <c r="J695" s="31">
        <v>0</v>
      </c>
      <c r="K695" s="33">
        <v>0</v>
      </c>
      <c r="L695" s="31">
        <v>0</v>
      </c>
      <c r="M695" s="31">
        <v>0</v>
      </c>
      <c r="N695" s="31">
        <v>0</v>
      </c>
      <c r="O695" s="31">
        <v>0</v>
      </c>
      <c r="P695" s="31">
        <v>0</v>
      </c>
      <c r="Q695" s="31">
        <v>0</v>
      </c>
      <c r="R695" s="31">
        <v>0</v>
      </c>
      <c r="S695" s="31">
        <v>0</v>
      </c>
      <c r="T695" s="31">
        <v>0</v>
      </c>
      <c r="U695" s="31">
        <v>0</v>
      </c>
      <c r="V695" s="31">
        <v>0</v>
      </c>
      <c r="W695" s="31">
        <v>0</v>
      </c>
      <c r="X695" s="31">
        <v>0</v>
      </c>
      <c r="Y695" s="31">
        <v>0</v>
      </c>
      <c r="Z695" s="31">
        <v>0</v>
      </c>
      <c r="AA695" s="31">
        <v>0</v>
      </c>
      <c r="AB695" s="31">
        <v>0</v>
      </c>
      <c r="AC695" s="31">
        <f>ROUND((E695+F695+G695+H695+I695+J695)*1.5%,2)</f>
        <v>47357.56</v>
      </c>
      <c r="AD695" s="31">
        <v>300000</v>
      </c>
      <c r="AE695" s="31">
        <v>0</v>
      </c>
      <c r="AF695" s="34">
        <v>2021</v>
      </c>
      <c r="AG695" s="34">
        <v>2021</v>
      </c>
      <c r="AH695" s="35">
        <v>2021</v>
      </c>
      <c r="AT695" s="20" t="e">
        <f t="shared" si="129"/>
        <v>#N/A</v>
      </c>
      <c r="BZ695" s="71"/>
      <c r="CD695" s="20" t="e">
        <f t="shared" si="126"/>
        <v>#N/A</v>
      </c>
    </row>
    <row r="696" spans="1:82" ht="61.5" x14ac:dyDescent="0.85">
      <c r="A696" s="20">
        <v>1</v>
      </c>
      <c r="B696" s="66">
        <f>SUBTOTAL(103,$A$554:A696)</f>
        <v>142</v>
      </c>
      <c r="C696" s="24" t="s">
        <v>476</v>
      </c>
      <c r="D696" s="31">
        <f t="shared" si="130"/>
        <v>7806669.5300000003</v>
      </c>
      <c r="E696" s="31">
        <v>0</v>
      </c>
      <c r="F696" s="31">
        <v>0</v>
      </c>
      <c r="G696" s="31">
        <v>0</v>
      </c>
      <c r="H696" s="31">
        <v>0</v>
      </c>
      <c r="I696" s="31">
        <v>0</v>
      </c>
      <c r="J696" s="31">
        <v>0</v>
      </c>
      <c r="K696" s="33">
        <v>0</v>
      </c>
      <c r="L696" s="31">
        <v>0</v>
      </c>
      <c r="M696" s="31">
        <v>3073.45</v>
      </c>
      <c r="N696" s="31">
        <v>7513960.1299999999</v>
      </c>
      <c r="O696" s="31">
        <v>0</v>
      </c>
      <c r="P696" s="31">
        <v>0</v>
      </c>
      <c r="Q696" s="31">
        <v>0</v>
      </c>
      <c r="R696" s="31">
        <v>0</v>
      </c>
      <c r="S696" s="31">
        <v>0</v>
      </c>
      <c r="T696" s="31">
        <v>0</v>
      </c>
      <c r="U696" s="31">
        <v>0</v>
      </c>
      <c r="V696" s="31">
        <v>0</v>
      </c>
      <c r="W696" s="31">
        <v>0</v>
      </c>
      <c r="X696" s="31">
        <v>0</v>
      </c>
      <c r="Y696" s="31">
        <v>0</v>
      </c>
      <c r="Z696" s="31">
        <v>0</v>
      </c>
      <c r="AA696" s="31">
        <v>0</v>
      </c>
      <c r="AB696" s="31">
        <v>0</v>
      </c>
      <c r="AC696" s="31">
        <f>ROUND(N696*1.5%,2)</f>
        <v>112709.4</v>
      </c>
      <c r="AD696" s="31">
        <v>180000</v>
      </c>
      <c r="AE696" s="31">
        <v>0</v>
      </c>
      <c r="AF696" s="34">
        <v>2021</v>
      </c>
      <c r="AG696" s="34">
        <v>2021</v>
      </c>
      <c r="AH696" s="35">
        <v>2021</v>
      </c>
      <c r="AT696" s="20" t="e">
        <f t="shared" si="129"/>
        <v>#N/A</v>
      </c>
      <c r="BZ696" s="71"/>
      <c r="CD696" s="20" t="e">
        <f t="shared" si="126"/>
        <v>#N/A</v>
      </c>
    </row>
    <row r="697" spans="1:82" ht="61.5" x14ac:dyDescent="0.85">
      <c r="A697" s="20">
        <v>1</v>
      </c>
      <c r="B697" s="66">
        <f>SUBTOTAL(103,$A$554:A697)</f>
        <v>143</v>
      </c>
      <c r="C697" s="24" t="s">
        <v>455</v>
      </c>
      <c r="D697" s="31">
        <f t="shared" si="130"/>
        <v>2928184.83</v>
      </c>
      <c r="E697" s="31">
        <v>0</v>
      </c>
      <c r="F697" s="31">
        <v>0</v>
      </c>
      <c r="G697" s="31">
        <v>0</v>
      </c>
      <c r="H697" s="31">
        <v>0</v>
      </c>
      <c r="I697" s="31">
        <v>0</v>
      </c>
      <c r="J697" s="31">
        <v>0</v>
      </c>
      <c r="K697" s="33">
        <v>0</v>
      </c>
      <c r="L697" s="31">
        <v>0</v>
      </c>
      <c r="M697" s="31">
        <v>528.5</v>
      </c>
      <c r="N697" s="31">
        <v>2884911.16</v>
      </c>
      <c r="O697" s="31">
        <v>0</v>
      </c>
      <c r="P697" s="31">
        <v>0</v>
      </c>
      <c r="Q697" s="31">
        <v>0</v>
      </c>
      <c r="R697" s="31">
        <v>0</v>
      </c>
      <c r="S697" s="31">
        <v>0</v>
      </c>
      <c r="T697" s="31">
        <v>0</v>
      </c>
      <c r="U697" s="31">
        <v>0</v>
      </c>
      <c r="V697" s="31">
        <v>0</v>
      </c>
      <c r="W697" s="31">
        <v>0</v>
      </c>
      <c r="X697" s="31">
        <v>0</v>
      </c>
      <c r="Y697" s="31">
        <v>0</v>
      </c>
      <c r="Z697" s="31">
        <v>0</v>
      </c>
      <c r="AA697" s="31">
        <v>0</v>
      </c>
      <c r="AB697" s="31">
        <v>0</v>
      </c>
      <c r="AC697" s="31">
        <f>ROUND(N697*1.5%,2)</f>
        <v>43273.67</v>
      </c>
      <c r="AD697" s="31">
        <v>0</v>
      </c>
      <c r="AE697" s="31">
        <v>0</v>
      </c>
      <c r="AF697" s="34" t="s">
        <v>274</v>
      </c>
      <c r="AG697" s="34">
        <v>2021</v>
      </c>
      <c r="AH697" s="35">
        <v>2021</v>
      </c>
      <c r="AT697" s="20" t="e">
        <f t="shared" si="129"/>
        <v>#N/A</v>
      </c>
      <c r="BZ697" s="71"/>
      <c r="CD697" s="20" t="e">
        <f t="shared" si="126"/>
        <v>#N/A</v>
      </c>
    </row>
    <row r="698" spans="1:82" ht="61.5" x14ac:dyDescent="0.85">
      <c r="A698" s="20">
        <v>1</v>
      </c>
      <c r="B698" s="66">
        <f>SUBTOTAL(103,$A$554:A698)</f>
        <v>144</v>
      </c>
      <c r="C698" s="24" t="s">
        <v>456</v>
      </c>
      <c r="D698" s="31">
        <f t="shared" si="130"/>
        <v>4800723</v>
      </c>
      <c r="E698" s="31">
        <v>0</v>
      </c>
      <c r="F698" s="31">
        <v>0</v>
      </c>
      <c r="G698" s="31">
        <v>0</v>
      </c>
      <c r="H698" s="31">
        <v>0</v>
      </c>
      <c r="I698" s="31">
        <v>0</v>
      </c>
      <c r="J698" s="31">
        <v>0</v>
      </c>
      <c r="K698" s="33">
        <v>0</v>
      </c>
      <c r="L698" s="31">
        <v>0</v>
      </c>
      <c r="M698" s="31">
        <v>850</v>
      </c>
      <c r="N698" s="31">
        <v>4729776.3499999996</v>
      </c>
      <c r="O698" s="31">
        <v>0</v>
      </c>
      <c r="P698" s="31">
        <v>0</v>
      </c>
      <c r="Q698" s="31">
        <v>0</v>
      </c>
      <c r="R698" s="31">
        <v>0</v>
      </c>
      <c r="S698" s="31">
        <v>0</v>
      </c>
      <c r="T698" s="31">
        <v>0</v>
      </c>
      <c r="U698" s="31">
        <v>0</v>
      </c>
      <c r="V698" s="31">
        <v>0</v>
      </c>
      <c r="W698" s="31">
        <v>0</v>
      </c>
      <c r="X698" s="31">
        <v>0</v>
      </c>
      <c r="Y698" s="31">
        <v>0</v>
      </c>
      <c r="Z698" s="31">
        <v>0</v>
      </c>
      <c r="AA698" s="31">
        <v>0</v>
      </c>
      <c r="AB698" s="31">
        <v>0</v>
      </c>
      <c r="AC698" s="31">
        <f>ROUND(N698*1.5%,2)</f>
        <v>70946.649999999994</v>
      </c>
      <c r="AD698" s="31">
        <v>0</v>
      </c>
      <c r="AE698" s="31">
        <v>0</v>
      </c>
      <c r="AF698" s="34" t="s">
        <v>274</v>
      </c>
      <c r="AG698" s="34">
        <v>2021</v>
      </c>
      <c r="AH698" s="35">
        <v>2021</v>
      </c>
      <c r="AT698" s="20" t="e">
        <f t="shared" si="129"/>
        <v>#N/A</v>
      </c>
      <c r="BZ698" s="71"/>
      <c r="CD698" s="20" t="e">
        <f t="shared" si="126"/>
        <v>#N/A</v>
      </c>
    </row>
    <row r="699" spans="1:82" ht="61.5" x14ac:dyDescent="0.85">
      <c r="A699" s="20">
        <v>1</v>
      </c>
      <c r="B699" s="66">
        <f>SUBTOTAL(103,$A$554:A699)</f>
        <v>145</v>
      </c>
      <c r="C699" s="24" t="s">
        <v>1318</v>
      </c>
      <c r="D699" s="31">
        <f t="shared" ref="D699:D704" si="131">E699+F699+G699+H699+I699+J699+L699+N699+P699+R699+T699+U699+V699+W699+X699+Y699+Z699+AA699+AB699+AC699+AD699+AE699</f>
        <v>3973949.34</v>
      </c>
      <c r="E699" s="31">
        <v>0</v>
      </c>
      <c r="F699" s="31">
        <v>0</v>
      </c>
      <c r="G699" s="31">
        <v>0</v>
      </c>
      <c r="H699" s="31">
        <v>0</v>
      </c>
      <c r="I699" s="31">
        <v>0</v>
      </c>
      <c r="J699" s="31">
        <v>0</v>
      </c>
      <c r="K699" s="33">
        <v>0</v>
      </c>
      <c r="L699" s="31">
        <v>0</v>
      </c>
      <c r="M699" s="31">
        <v>716.68</v>
      </c>
      <c r="N699" s="31">
        <v>3767437.77</v>
      </c>
      <c r="O699" s="31">
        <v>0</v>
      </c>
      <c r="P699" s="31">
        <v>0</v>
      </c>
      <c r="Q699" s="31">
        <v>0</v>
      </c>
      <c r="R699" s="31">
        <v>0</v>
      </c>
      <c r="S699" s="31">
        <v>0</v>
      </c>
      <c r="T699" s="31">
        <v>0</v>
      </c>
      <c r="U699" s="31">
        <v>0</v>
      </c>
      <c r="V699" s="31">
        <v>0</v>
      </c>
      <c r="W699" s="31">
        <v>0</v>
      </c>
      <c r="X699" s="31">
        <v>0</v>
      </c>
      <c r="Y699" s="31">
        <v>0</v>
      </c>
      <c r="Z699" s="31">
        <v>0</v>
      </c>
      <c r="AA699" s="31">
        <v>0</v>
      </c>
      <c r="AB699" s="31">
        <v>0</v>
      </c>
      <c r="AC699" s="31">
        <f t="shared" ref="AC699:AC704" si="132">ROUND(N699*1.5%,2)</f>
        <v>56511.57</v>
      </c>
      <c r="AD699" s="31">
        <v>150000</v>
      </c>
      <c r="AE699" s="31">
        <v>0</v>
      </c>
      <c r="AF699" s="34">
        <v>2021</v>
      </c>
      <c r="AG699" s="34">
        <v>2021</v>
      </c>
      <c r="AH699" s="35">
        <v>2021</v>
      </c>
      <c r="AT699" s="20" t="e">
        <f t="shared" si="129"/>
        <v>#N/A</v>
      </c>
      <c r="BZ699" s="71"/>
      <c r="CD699" s="20" t="e">
        <f t="shared" si="126"/>
        <v>#N/A</v>
      </c>
    </row>
    <row r="700" spans="1:82" ht="61.5" x14ac:dyDescent="0.85">
      <c r="A700" s="20">
        <v>1</v>
      </c>
      <c r="B700" s="66">
        <f>SUBTOTAL(103,$A$554:A700)</f>
        <v>146</v>
      </c>
      <c r="C700" s="24" t="s">
        <v>474</v>
      </c>
      <c r="D700" s="31">
        <f t="shared" si="131"/>
        <v>3793636.92</v>
      </c>
      <c r="E700" s="31">
        <v>0</v>
      </c>
      <c r="F700" s="31">
        <v>0</v>
      </c>
      <c r="G700" s="31">
        <v>0</v>
      </c>
      <c r="H700" s="31">
        <v>0</v>
      </c>
      <c r="I700" s="31">
        <v>0</v>
      </c>
      <c r="J700" s="31">
        <v>0</v>
      </c>
      <c r="K700" s="33">
        <v>0</v>
      </c>
      <c r="L700" s="31">
        <v>0</v>
      </c>
      <c r="M700" s="31">
        <v>724</v>
      </c>
      <c r="N700" s="31">
        <v>3589790.07</v>
      </c>
      <c r="O700" s="31">
        <v>0</v>
      </c>
      <c r="P700" s="31">
        <v>0</v>
      </c>
      <c r="Q700" s="31">
        <v>0</v>
      </c>
      <c r="R700" s="31">
        <v>0</v>
      </c>
      <c r="S700" s="31">
        <v>0</v>
      </c>
      <c r="T700" s="31">
        <v>0</v>
      </c>
      <c r="U700" s="31">
        <v>0</v>
      </c>
      <c r="V700" s="31">
        <v>0</v>
      </c>
      <c r="W700" s="31">
        <v>0</v>
      </c>
      <c r="X700" s="31">
        <v>0</v>
      </c>
      <c r="Y700" s="31">
        <v>0</v>
      </c>
      <c r="Z700" s="31">
        <v>0</v>
      </c>
      <c r="AA700" s="31">
        <v>0</v>
      </c>
      <c r="AB700" s="31">
        <v>0</v>
      </c>
      <c r="AC700" s="31">
        <f t="shared" si="132"/>
        <v>53846.85</v>
      </c>
      <c r="AD700" s="31">
        <v>150000</v>
      </c>
      <c r="AE700" s="31">
        <v>0</v>
      </c>
      <c r="AF700" s="34">
        <v>2021</v>
      </c>
      <c r="AG700" s="34">
        <v>2021</v>
      </c>
      <c r="AH700" s="35">
        <v>2021</v>
      </c>
      <c r="AT700" s="20" t="e">
        <f t="shared" si="129"/>
        <v>#N/A</v>
      </c>
      <c r="BZ700" s="71"/>
      <c r="CD700" s="20" t="e">
        <f t="shared" si="126"/>
        <v>#N/A</v>
      </c>
    </row>
    <row r="701" spans="1:82" ht="61.5" x14ac:dyDescent="0.85">
      <c r="A701" s="20">
        <v>1</v>
      </c>
      <c r="B701" s="66">
        <f>SUBTOTAL(103,$A$554:A701)</f>
        <v>147</v>
      </c>
      <c r="C701" s="24" t="s">
        <v>1676</v>
      </c>
      <c r="D701" s="31">
        <f t="shared" si="131"/>
        <v>3607695.84</v>
      </c>
      <c r="E701" s="31">
        <v>0</v>
      </c>
      <c r="F701" s="31">
        <v>0</v>
      </c>
      <c r="G701" s="31">
        <v>0</v>
      </c>
      <c r="H701" s="31">
        <v>0</v>
      </c>
      <c r="I701" s="31">
        <v>0</v>
      </c>
      <c r="J701" s="31">
        <v>0</v>
      </c>
      <c r="K701" s="33">
        <v>0</v>
      </c>
      <c r="L701" s="31">
        <v>0</v>
      </c>
      <c r="M701" s="31">
        <v>627.6</v>
      </c>
      <c r="N701" s="31">
        <v>3436153.54</v>
      </c>
      <c r="O701" s="31">
        <v>0</v>
      </c>
      <c r="P701" s="31">
        <v>0</v>
      </c>
      <c r="Q701" s="31">
        <v>0</v>
      </c>
      <c r="R701" s="31">
        <v>0</v>
      </c>
      <c r="S701" s="31">
        <v>0</v>
      </c>
      <c r="T701" s="31">
        <v>0</v>
      </c>
      <c r="U701" s="31">
        <v>0</v>
      </c>
      <c r="V701" s="31">
        <v>0</v>
      </c>
      <c r="W701" s="31">
        <v>0</v>
      </c>
      <c r="X701" s="31">
        <v>0</v>
      </c>
      <c r="Y701" s="31">
        <v>0</v>
      </c>
      <c r="Z701" s="31">
        <v>0</v>
      </c>
      <c r="AA701" s="31">
        <v>0</v>
      </c>
      <c r="AB701" s="31">
        <v>0</v>
      </c>
      <c r="AC701" s="31">
        <f t="shared" si="132"/>
        <v>51542.3</v>
      </c>
      <c r="AD701" s="31">
        <v>120000</v>
      </c>
      <c r="AE701" s="31">
        <v>0</v>
      </c>
      <c r="AF701" s="34">
        <v>2021</v>
      </c>
      <c r="AG701" s="34">
        <v>2021</v>
      </c>
      <c r="AH701" s="35">
        <v>2021</v>
      </c>
      <c r="BZ701" s="71"/>
      <c r="CD701" s="20" t="e">
        <f t="shared" si="126"/>
        <v>#N/A</v>
      </c>
    </row>
    <row r="702" spans="1:82" ht="61.5" x14ac:dyDescent="0.85">
      <c r="A702" s="20">
        <v>1</v>
      </c>
      <c r="B702" s="66">
        <f>SUBTOTAL(103,$A$554:A702)</f>
        <v>148</v>
      </c>
      <c r="C702" s="24" t="s">
        <v>1677</v>
      </c>
      <c r="D702" s="31">
        <f t="shared" si="131"/>
        <v>1597480.36</v>
      </c>
      <c r="E702" s="31">
        <v>0</v>
      </c>
      <c r="F702" s="31">
        <v>0</v>
      </c>
      <c r="G702" s="31">
        <v>0</v>
      </c>
      <c r="H702" s="31">
        <v>0</v>
      </c>
      <c r="I702" s="31">
        <v>0</v>
      </c>
      <c r="J702" s="31">
        <v>0</v>
      </c>
      <c r="K702" s="33">
        <v>0</v>
      </c>
      <c r="L702" s="31">
        <v>0</v>
      </c>
      <c r="M702" s="31">
        <v>277.89999999999998</v>
      </c>
      <c r="N702" s="31">
        <v>1495054.54</v>
      </c>
      <c r="O702" s="31">
        <v>0</v>
      </c>
      <c r="P702" s="31">
        <v>0</v>
      </c>
      <c r="Q702" s="31">
        <v>0</v>
      </c>
      <c r="R702" s="31">
        <v>0</v>
      </c>
      <c r="S702" s="31">
        <v>0</v>
      </c>
      <c r="T702" s="31">
        <v>0</v>
      </c>
      <c r="U702" s="31">
        <v>0</v>
      </c>
      <c r="V702" s="31">
        <v>0</v>
      </c>
      <c r="W702" s="31">
        <v>0</v>
      </c>
      <c r="X702" s="31">
        <v>0</v>
      </c>
      <c r="Y702" s="31">
        <v>0</v>
      </c>
      <c r="Z702" s="31">
        <v>0</v>
      </c>
      <c r="AA702" s="31">
        <v>0</v>
      </c>
      <c r="AB702" s="31">
        <v>0</v>
      </c>
      <c r="AC702" s="31">
        <f t="shared" si="132"/>
        <v>22425.82</v>
      </c>
      <c r="AD702" s="31">
        <v>80000</v>
      </c>
      <c r="AE702" s="31">
        <v>0</v>
      </c>
      <c r="AF702" s="34">
        <v>2021</v>
      </c>
      <c r="AG702" s="34">
        <v>2021</v>
      </c>
      <c r="AH702" s="35">
        <v>2021</v>
      </c>
      <c r="BZ702" s="71"/>
      <c r="CD702" s="20" t="e">
        <f t="shared" si="126"/>
        <v>#N/A</v>
      </c>
    </row>
    <row r="703" spans="1:82" ht="61.5" x14ac:dyDescent="0.85">
      <c r="A703" s="20">
        <v>1</v>
      </c>
      <c r="B703" s="66">
        <f>SUBTOTAL(103,$A$554:A703)</f>
        <v>149</v>
      </c>
      <c r="C703" s="24" t="s">
        <v>1678</v>
      </c>
      <c r="D703" s="31">
        <f t="shared" si="131"/>
        <v>3132303.1599999997</v>
      </c>
      <c r="E703" s="31">
        <v>0</v>
      </c>
      <c r="F703" s="31">
        <v>0</v>
      </c>
      <c r="G703" s="31">
        <v>0</v>
      </c>
      <c r="H703" s="31">
        <v>0</v>
      </c>
      <c r="I703" s="31">
        <v>0</v>
      </c>
      <c r="J703" s="31">
        <v>0</v>
      </c>
      <c r="K703" s="33">
        <v>0</v>
      </c>
      <c r="L703" s="31">
        <v>0</v>
      </c>
      <c r="M703" s="31">
        <v>544.9</v>
      </c>
      <c r="N703" s="31">
        <v>2987490.8</v>
      </c>
      <c r="O703" s="31">
        <v>0</v>
      </c>
      <c r="P703" s="31">
        <v>0</v>
      </c>
      <c r="Q703" s="31">
        <v>0</v>
      </c>
      <c r="R703" s="31">
        <v>0</v>
      </c>
      <c r="S703" s="31">
        <v>0</v>
      </c>
      <c r="T703" s="31">
        <v>0</v>
      </c>
      <c r="U703" s="31">
        <v>0</v>
      </c>
      <c r="V703" s="31">
        <v>0</v>
      </c>
      <c r="W703" s="31">
        <v>0</v>
      </c>
      <c r="X703" s="31">
        <v>0</v>
      </c>
      <c r="Y703" s="31">
        <v>0</v>
      </c>
      <c r="Z703" s="31">
        <v>0</v>
      </c>
      <c r="AA703" s="31">
        <v>0</v>
      </c>
      <c r="AB703" s="31">
        <v>0</v>
      </c>
      <c r="AC703" s="31">
        <f t="shared" si="132"/>
        <v>44812.36</v>
      </c>
      <c r="AD703" s="31">
        <v>100000</v>
      </c>
      <c r="AE703" s="31">
        <v>0</v>
      </c>
      <c r="AF703" s="34">
        <v>2021</v>
      </c>
      <c r="AG703" s="34">
        <v>2021</v>
      </c>
      <c r="AH703" s="35">
        <v>2021</v>
      </c>
      <c r="BZ703" s="71"/>
      <c r="CD703" s="20" t="e">
        <f t="shared" si="126"/>
        <v>#N/A</v>
      </c>
    </row>
    <row r="704" spans="1:82" ht="61.5" x14ac:dyDescent="0.85">
      <c r="A704" s="20">
        <v>1</v>
      </c>
      <c r="B704" s="66">
        <f>SUBTOTAL(103,$A$554:A704)</f>
        <v>150</v>
      </c>
      <c r="C704" s="24" t="s">
        <v>1679</v>
      </c>
      <c r="D704" s="31">
        <f t="shared" si="131"/>
        <v>1937212.2999999998</v>
      </c>
      <c r="E704" s="31">
        <v>0</v>
      </c>
      <c r="F704" s="31">
        <v>0</v>
      </c>
      <c r="G704" s="31">
        <v>0</v>
      </c>
      <c r="H704" s="31">
        <v>0</v>
      </c>
      <c r="I704" s="31">
        <v>0</v>
      </c>
      <c r="J704" s="31">
        <v>0</v>
      </c>
      <c r="K704" s="33">
        <v>0</v>
      </c>
      <c r="L704" s="31">
        <v>0</v>
      </c>
      <c r="M704" s="31">
        <v>337</v>
      </c>
      <c r="N704" s="31">
        <v>1810059.9</v>
      </c>
      <c r="O704" s="31">
        <v>0</v>
      </c>
      <c r="P704" s="31">
        <v>0</v>
      </c>
      <c r="Q704" s="31">
        <v>0</v>
      </c>
      <c r="R704" s="31">
        <v>0</v>
      </c>
      <c r="S704" s="31">
        <v>0</v>
      </c>
      <c r="T704" s="31">
        <v>0</v>
      </c>
      <c r="U704" s="31">
        <v>0</v>
      </c>
      <c r="V704" s="31">
        <v>0</v>
      </c>
      <c r="W704" s="31">
        <v>0</v>
      </c>
      <c r="X704" s="31">
        <v>0</v>
      </c>
      <c r="Y704" s="31">
        <v>0</v>
      </c>
      <c r="Z704" s="31">
        <v>0</v>
      </c>
      <c r="AA704" s="31">
        <v>0</v>
      </c>
      <c r="AB704" s="31">
        <v>0</v>
      </c>
      <c r="AC704" s="31">
        <f t="shared" si="132"/>
        <v>27150.9</v>
      </c>
      <c r="AD704" s="31">
        <f>100000+1.5</f>
        <v>100001.5</v>
      </c>
      <c r="AE704" s="31">
        <v>0</v>
      </c>
      <c r="AF704" s="34">
        <v>2021</v>
      </c>
      <c r="AG704" s="34">
        <v>2021</v>
      </c>
      <c r="AH704" s="35">
        <v>2021</v>
      </c>
      <c r="BZ704" s="71"/>
      <c r="CD704" s="20" t="e">
        <f t="shared" si="126"/>
        <v>#N/A</v>
      </c>
    </row>
    <row r="705" spans="1:82" ht="61.5" x14ac:dyDescent="0.85">
      <c r="B705" s="24" t="s">
        <v>782</v>
      </c>
      <c r="C705" s="166"/>
      <c r="D705" s="31">
        <f>SUM(D706:D763)</f>
        <v>107451790.59</v>
      </c>
      <c r="E705" s="31">
        <f t="shared" ref="E705:AE705" si="133">SUM(E706:E763)</f>
        <v>0</v>
      </c>
      <c r="F705" s="31">
        <f t="shared" si="133"/>
        <v>0</v>
      </c>
      <c r="G705" s="31">
        <f t="shared" si="133"/>
        <v>0</v>
      </c>
      <c r="H705" s="31">
        <f t="shared" si="133"/>
        <v>150356.32999999999</v>
      </c>
      <c r="I705" s="31">
        <f t="shared" si="133"/>
        <v>1855761.8599999999</v>
      </c>
      <c r="J705" s="31">
        <f t="shared" si="133"/>
        <v>0</v>
      </c>
      <c r="K705" s="33">
        <f t="shared" si="133"/>
        <v>1</v>
      </c>
      <c r="L705" s="31">
        <f t="shared" si="133"/>
        <v>2116554.6800000002</v>
      </c>
      <c r="M705" s="31">
        <f t="shared" si="133"/>
        <v>18742</v>
      </c>
      <c r="N705" s="31">
        <f t="shared" si="133"/>
        <v>89201010.810000002</v>
      </c>
      <c r="O705" s="31">
        <f t="shared" si="133"/>
        <v>0</v>
      </c>
      <c r="P705" s="31">
        <f t="shared" si="133"/>
        <v>0</v>
      </c>
      <c r="Q705" s="31">
        <f t="shared" si="133"/>
        <v>947</v>
      </c>
      <c r="R705" s="31">
        <f t="shared" si="133"/>
        <v>4699507.3899999997</v>
      </c>
      <c r="S705" s="31">
        <f t="shared" si="133"/>
        <v>0</v>
      </c>
      <c r="T705" s="31">
        <f t="shared" si="133"/>
        <v>0</v>
      </c>
      <c r="U705" s="31">
        <f t="shared" si="133"/>
        <v>0</v>
      </c>
      <c r="V705" s="31">
        <f t="shared" si="133"/>
        <v>0</v>
      </c>
      <c r="W705" s="31">
        <f t="shared" si="133"/>
        <v>0</v>
      </c>
      <c r="X705" s="31">
        <f t="shared" si="133"/>
        <v>0</v>
      </c>
      <c r="Y705" s="31">
        <f t="shared" si="133"/>
        <v>0</v>
      </c>
      <c r="Z705" s="31">
        <f t="shared" si="133"/>
        <v>0</v>
      </c>
      <c r="AA705" s="31">
        <f t="shared" si="133"/>
        <v>0</v>
      </c>
      <c r="AB705" s="31">
        <f t="shared" si="133"/>
        <v>0</v>
      </c>
      <c r="AC705" s="31">
        <f t="shared" si="133"/>
        <v>1438599.5200000005</v>
      </c>
      <c r="AD705" s="31">
        <f t="shared" si="133"/>
        <v>7870000</v>
      </c>
      <c r="AE705" s="31">
        <f t="shared" si="133"/>
        <v>120000</v>
      </c>
      <c r="AF705" s="72" t="s">
        <v>776</v>
      </c>
      <c r="AG705" s="72" t="s">
        <v>776</v>
      </c>
      <c r="AH705" s="89" t="s">
        <v>776</v>
      </c>
      <c r="AT705" s="20" t="e">
        <f t="shared" ref="AT705:AT733" si="134">VLOOKUP(C705,AW:AX,2,FALSE)</f>
        <v>#N/A</v>
      </c>
      <c r="BZ705" s="71">
        <v>95396897.950000003</v>
      </c>
      <c r="CB705" s="71">
        <f>BZ705-D705</f>
        <v>-12054892.640000001</v>
      </c>
      <c r="CD705" s="20" t="e">
        <f t="shared" si="126"/>
        <v>#N/A</v>
      </c>
    </row>
    <row r="706" spans="1:82" ht="61.5" x14ac:dyDescent="0.85">
      <c r="A706" s="20">
        <v>1</v>
      </c>
      <c r="B706" s="66">
        <f>SUBTOTAL(103,$A$554:A706)</f>
        <v>151</v>
      </c>
      <c r="C706" s="24" t="s">
        <v>411</v>
      </c>
      <c r="D706" s="31">
        <f t="shared" ref="D706:D763" si="135">E706+F706+G706+H706+I706+J706+L706+N706+P706+R706+T706+U706+V706+W706+X706+Y706+Z706+AA706+AB706+AC706+AD706+AE706</f>
        <v>6634502.3200000003</v>
      </c>
      <c r="E706" s="31">
        <v>0</v>
      </c>
      <c r="F706" s="31">
        <v>0</v>
      </c>
      <c r="G706" s="31">
        <v>0</v>
      </c>
      <c r="H706" s="31">
        <v>0</v>
      </c>
      <c r="I706" s="31">
        <v>0</v>
      </c>
      <c r="J706" s="31">
        <v>0</v>
      </c>
      <c r="K706" s="33">
        <v>0</v>
      </c>
      <c r="L706" s="31">
        <v>0</v>
      </c>
      <c r="M706" s="31">
        <v>1397</v>
      </c>
      <c r="N706" s="31">
        <v>6359115.5899999999</v>
      </c>
      <c r="O706" s="31">
        <v>0</v>
      </c>
      <c r="P706" s="31">
        <v>0</v>
      </c>
      <c r="Q706" s="31">
        <v>0</v>
      </c>
      <c r="R706" s="31">
        <v>0</v>
      </c>
      <c r="S706" s="31">
        <v>0</v>
      </c>
      <c r="T706" s="31">
        <v>0</v>
      </c>
      <c r="U706" s="31">
        <v>0</v>
      </c>
      <c r="V706" s="31">
        <v>0</v>
      </c>
      <c r="W706" s="31">
        <v>0</v>
      </c>
      <c r="X706" s="31">
        <v>0</v>
      </c>
      <c r="Y706" s="31">
        <v>0</v>
      </c>
      <c r="Z706" s="31">
        <v>0</v>
      </c>
      <c r="AA706" s="31">
        <v>0</v>
      </c>
      <c r="AB706" s="31">
        <v>0</v>
      </c>
      <c r="AC706" s="31">
        <f>ROUND(N706*1.5%,2)</f>
        <v>95386.73</v>
      </c>
      <c r="AD706" s="31">
        <v>180000</v>
      </c>
      <c r="AE706" s="31">
        <v>0</v>
      </c>
      <c r="AF706" s="34">
        <v>2021</v>
      </c>
      <c r="AG706" s="34">
        <v>2021</v>
      </c>
      <c r="AH706" s="35">
        <v>2021</v>
      </c>
      <c r="AT706" s="20" t="e">
        <f t="shared" si="134"/>
        <v>#N/A</v>
      </c>
      <c r="BZ706" s="71"/>
      <c r="CD706" s="20" t="e">
        <f t="shared" si="126"/>
        <v>#N/A</v>
      </c>
    </row>
    <row r="707" spans="1:82" ht="61.5" x14ac:dyDescent="0.85">
      <c r="A707" s="20">
        <v>1</v>
      </c>
      <c r="B707" s="66">
        <f>SUBTOTAL(103,$A$554:A707)</f>
        <v>152</v>
      </c>
      <c r="C707" s="24" t="s">
        <v>412</v>
      </c>
      <c r="D707" s="31">
        <f t="shared" si="135"/>
        <v>2216554.6800000002</v>
      </c>
      <c r="E707" s="31">
        <v>0</v>
      </c>
      <c r="F707" s="31">
        <v>0</v>
      </c>
      <c r="G707" s="31">
        <v>0</v>
      </c>
      <c r="H707" s="31">
        <v>0</v>
      </c>
      <c r="I707" s="31">
        <v>0</v>
      </c>
      <c r="J707" s="31">
        <v>0</v>
      </c>
      <c r="K707" s="33">
        <v>1</v>
      </c>
      <c r="L707" s="31">
        <v>2116554.6800000002</v>
      </c>
      <c r="M707" s="31">
        <v>0</v>
      </c>
      <c r="N707" s="31">
        <v>0</v>
      </c>
      <c r="O707" s="31">
        <v>0</v>
      </c>
      <c r="P707" s="31">
        <v>0</v>
      </c>
      <c r="Q707" s="31">
        <v>0</v>
      </c>
      <c r="R707" s="31">
        <v>0</v>
      </c>
      <c r="S707" s="31">
        <v>0</v>
      </c>
      <c r="T707" s="31">
        <v>0</v>
      </c>
      <c r="U707" s="31">
        <v>0</v>
      </c>
      <c r="V707" s="31">
        <v>0</v>
      </c>
      <c r="W707" s="31">
        <v>0</v>
      </c>
      <c r="X707" s="31">
        <v>0</v>
      </c>
      <c r="Y707" s="31">
        <v>0</v>
      </c>
      <c r="Z707" s="31">
        <v>0</v>
      </c>
      <c r="AA707" s="31">
        <v>0</v>
      </c>
      <c r="AB707" s="31">
        <v>0</v>
      </c>
      <c r="AC707" s="31">
        <v>0</v>
      </c>
      <c r="AD707" s="31">
        <v>100000</v>
      </c>
      <c r="AE707" s="31">
        <v>0</v>
      </c>
      <c r="AF707" s="34">
        <v>2021</v>
      </c>
      <c r="AG707" s="34">
        <v>2021</v>
      </c>
      <c r="AH707" s="35" t="s">
        <v>274</v>
      </c>
      <c r="AT707" s="20">
        <f t="shared" si="134"/>
        <v>1</v>
      </c>
      <c r="BZ707" s="71"/>
      <c r="CD707" s="20" t="e">
        <f t="shared" si="126"/>
        <v>#N/A</v>
      </c>
    </row>
    <row r="708" spans="1:82" ht="61.5" x14ac:dyDescent="0.85">
      <c r="A708" s="20">
        <v>1</v>
      </c>
      <c r="B708" s="66">
        <f>SUBTOTAL(103,$A$554:A708)</f>
        <v>153</v>
      </c>
      <c r="C708" s="24" t="s">
        <v>413</v>
      </c>
      <c r="D708" s="31">
        <f t="shared" si="135"/>
        <v>4590000</v>
      </c>
      <c r="E708" s="31">
        <v>0</v>
      </c>
      <c r="F708" s="31">
        <v>0</v>
      </c>
      <c r="G708" s="31">
        <v>0</v>
      </c>
      <c r="H708" s="31">
        <v>0</v>
      </c>
      <c r="I708" s="31">
        <v>0</v>
      </c>
      <c r="J708" s="31">
        <v>0</v>
      </c>
      <c r="K708" s="33">
        <v>0</v>
      </c>
      <c r="L708" s="31">
        <v>0</v>
      </c>
      <c r="M708" s="31">
        <v>918</v>
      </c>
      <c r="N708" s="31">
        <v>4374384.24</v>
      </c>
      <c r="O708" s="31">
        <v>0</v>
      </c>
      <c r="P708" s="31">
        <v>0</v>
      </c>
      <c r="Q708" s="31">
        <v>0</v>
      </c>
      <c r="R708" s="31">
        <v>0</v>
      </c>
      <c r="S708" s="31">
        <v>0</v>
      </c>
      <c r="T708" s="31">
        <v>0</v>
      </c>
      <c r="U708" s="31">
        <v>0</v>
      </c>
      <c r="V708" s="31">
        <v>0</v>
      </c>
      <c r="W708" s="31">
        <v>0</v>
      </c>
      <c r="X708" s="31">
        <v>0</v>
      </c>
      <c r="Y708" s="31">
        <v>0</v>
      </c>
      <c r="Z708" s="31">
        <v>0</v>
      </c>
      <c r="AA708" s="31">
        <v>0</v>
      </c>
      <c r="AB708" s="31">
        <v>0</v>
      </c>
      <c r="AC708" s="31">
        <f>ROUND(N708*1.5%,2)</f>
        <v>65615.759999999995</v>
      </c>
      <c r="AD708" s="31">
        <v>150000</v>
      </c>
      <c r="AE708" s="31">
        <v>0</v>
      </c>
      <c r="AF708" s="34">
        <v>2021</v>
      </c>
      <c r="AG708" s="34">
        <v>2021</v>
      </c>
      <c r="AH708" s="35">
        <v>2021</v>
      </c>
      <c r="AT708" s="20" t="e">
        <f t="shared" si="134"/>
        <v>#N/A</v>
      </c>
      <c r="BZ708" s="71"/>
      <c r="CD708" s="20" t="e">
        <f t="shared" si="126"/>
        <v>#N/A</v>
      </c>
    </row>
    <row r="709" spans="1:82" ht="61.5" x14ac:dyDescent="0.85">
      <c r="A709" s="20">
        <v>1</v>
      </c>
      <c r="B709" s="66">
        <f>SUBTOTAL(103,$A$554:A709)</f>
        <v>154</v>
      </c>
      <c r="C709" s="24" t="s">
        <v>414</v>
      </c>
      <c r="D709" s="31">
        <f t="shared" si="135"/>
        <v>3250000</v>
      </c>
      <c r="E709" s="31">
        <v>0</v>
      </c>
      <c r="F709" s="31">
        <v>0</v>
      </c>
      <c r="G709" s="31">
        <v>0</v>
      </c>
      <c r="H709" s="31">
        <v>0</v>
      </c>
      <c r="I709" s="31">
        <v>0</v>
      </c>
      <c r="J709" s="31">
        <v>0</v>
      </c>
      <c r="K709" s="33">
        <v>0</v>
      </c>
      <c r="L709" s="31">
        <v>0</v>
      </c>
      <c r="M709" s="31">
        <v>650</v>
      </c>
      <c r="N709" s="31">
        <v>3054187.19</v>
      </c>
      <c r="O709" s="31">
        <v>0</v>
      </c>
      <c r="P709" s="31">
        <v>0</v>
      </c>
      <c r="Q709" s="31">
        <v>0</v>
      </c>
      <c r="R709" s="31">
        <v>0</v>
      </c>
      <c r="S709" s="31">
        <v>0</v>
      </c>
      <c r="T709" s="31">
        <v>0</v>
      </c>
      <c r="U709" s="31">
        <v>0</v>
      </c>
      <c r="V709" s="31">
        <v>0</v>
      </c>
      <c r="W709" s="31">
        <v>0</v>
      </c>
      <c r="X709" s="31">
        <v>0</v>
      </c>
      <c r="Y709" s="31">
        <v>0</v>
      </c>
      <c r="Z709" s="31">
        <v>0</v>
      </c>
      <c r="AA709" s="31">
        <v>0</v>
      </c>
      <c r="AB709" s="31">
        <v>0</v>
      </c>
      <c r="AC709" s="31">
        <f>ROUND(N709*1.5%,2)</f>
        <v>45812.81</v>
      </c>
      <c r="AD709" s="31">
        <v>150000</v>
      </c>
      <c r="AE709" s="31">
        <v>0</v>
      </c>
      <c r="AF709" s="34">
        <v>2021</v>
      </c>
      <c r="AG709" s="34">
        <v>2021</v>
      </c>
      <c r="AH709" s="35">
        <v>2021</v>
      </c>
      <c r="AT709" s="20" t="e">
        <f t="shared" si="134"/>
        <v>#N/A</v>
      </c>
      <c r="BZ709" s="71"/>
      <c r="CD709" s="20" t="e">
        <f t="shared" si="126"/>
        <v>#N/A</v>
      </c>
    </row>
    <row r="710" spans="1:82" ht="61.5" x14ac:dyDescent="0.85">
      <c r="A710" s="20">
        <v>1</v>
      </c>
      <c r="B710" s="66">
        <f>SUBTOTAL(103,$A$554:A710)</f>
        <v>155</v>
      </c>
      <c r="C710" s="24" t="s">
        <v>415</v>
      </c>
      <c r="D710" s="31">
        <f t="shared" si="135"/>
        <v>3100000</v>
      </c>
      <c r="E710" s="31">
        <v>0</v>
      </c>
      <c r="F710" s="31">
        <v>0</v>
      </c>
      <c r="G710" s="31">
        <v>0</v>
      </c>
      <c r="H710" s="31">
        <v>0</v>
      </c>
      <c r="I710" s="31">
        <v>0</v>
      </c>
      <c r="J710" s="31">
        <v>0</v>
      </c>
      <c r="K710" s="33">
        <v>0</v>
      </c>
      <c r="L710" s="31">
        <v>0</v>
      </c>
      <c r="M710" s="31">
        <v>620</v>
      </c>
      <c r="N710" s="31">
        <v>2906403.94</v>
      </c>
      <c r="O710" s="31">
        <v>0</v>
      </c>
      <c r="P710" s="31">
        <v>0</v>
      </c>
      <c r="Q710" s="31">
        <v>0</v>
      </c>
      <c r="R710" s="31">
        <v>0</v>
      </c>
      <c r="S710" s="31">
        <v>0</v>
      </c>
      <c r="T710" s="31">
        <v>0</v>
      </c>
      <c r="U710" s="31">
        <v>0</v>
      </c>
      <c r="V710" s="31">
        <v>0</v>
      </c>
      <c r="W710" s="31">
        <v>0</v>
      </c>
      <c r="X710" s="31">
        <v>0</v>
      </c>
      <c r="Y710" s="31">
        <v>0</v>
      </c>
      <c r="Z710" s="31">
        <v>0</v>
      </c>
      <c r="AA710" s="31">
        <v>0</v>
      </c>
      <c r="AB710" s="31">
        <v>0</v>
      </c>
      <c r="AC710" s="31">
        <f>ROUND(N710*1.5%,2)</f>
        <v>43596.06</v>
      </c>
      <c r="AD710" s="31">
        <v>150000</v>
      </c>
      <c r="AE710" s="31">
        <v>0</v>
      </c>
      <c r="AF710" s="34">
        <v>2021</v>
      </c>
      <c r="AG710" s="34">
        <v>2021</v>
      </c>
      <c r="AH710" s="35">
        <v>2021</v>
      </c>
      <c r="AT710" s="20" t="e">
        <f t="shared" si="134"/>
        <v>#N/A</v>
      </c>
      <c r="BZ710" s="71"/>
      <c r="CD710" s="20" t="e">
        <f t="shared" si="126"/>
        <v>#N/A</v>
      </c>
    </row>
    <row r="711" spans="1:82" ht="61.5" x14ac:dyDescent="0.85">
      <c r="A711" s="20">
        <v>1</v>
      </c>
      <c r="B711" s="66">
        <f>SUBTOTAL(103,$A$554:A711)</f>
        <v>156</v>
      </c>
      <c r="C711" s="24" t="s">
        <v>416</v>
      </c>
      <c r="D711" s="31">
        <f t="shared" si="135"/>
        <v>3000000</v>
      </c>
      <c r="E711" s="31">
        <v>0</v>
      </c>
      <c r="F711" s="31">
        <v>0</v>
      </c>
      <c r="G711" s="31">
        <v>0</v>
      </c>
      <c r="H711" s="31">
        <v>0</v>
      </c>
      <c r="I711" s="31">
        <v>0</v>
      </c>
      <c r="J711" s="31">
        <v>0</v>
      </c>
      <c r="K711" s="33">
        <v>0</v>
      </c>
      <c r="L711" s="31">
        <v>0</v>
      </c>
      <c r="M711" s="31">
        <v>600</v>
      </c>
      <c r="N711" s="31">
        <v>2807881.77</v>
      </c>
      <c r="O711" s="31">
        <v>0</v>
      </c>
      <c r="P711" s="31">
        <v>0</v>
      </c>
      <c r="Q711" s="31">
        <v>0</v>
      </c>
      <c r="R711" s="31">
        <v>0</v>
      </c>
      <c r="S711" s="31">
        <v>0</v>
      </c>
      <c r="T711" s="31">
        <v>0</v>
      </c>
      <c r="U711" s="31">
        <v>0</v>
      </c>
      <c r="V711" s="31">
        <v>0</v>
      </c>
      <c r="W711" s="31">
        <v>0</v>
      </c>
      <c r="X711" s="31">
        <v>0</v>
      </c>
      <c r="Y711" s="31">
        <v>0</v>
      </c>
      <c r="Z711" s="31">
        <v>0</v>
      </c>
      <c r="AA711" s="31">
        <v>0</v>
      </c>
      <c r="AB711" s="31">
        <v>0</v>
      </c>
      <c r="AC711" s="31">
        <f>ROUND(N711*1.5%,2)</f>
        <v>42118.23</v>
      </c>
      <c r="AD711" s="31">
        <v>150000</v>
      </c>
      <c r="AE711" s="31">
        <v>0</v>
      </c>
      <c r="AF711" s="34">
        <v>2021</v>
      </c>
      <c r="AG711" s="34">
        <v>2021</v>
      </c>
      <c r="AH711" s="35">
        <v>2021</v>
      </c>
      <c r="AT711" s="20" t="e">
        <f t="shared" si="134"/>
        <v>#N/A</v>
      </c>
      <c r="BZ711" s="71"/>
      <c r="CD711" s="20" t="e">
        <f t="shared" si="126"/>
        <v>#N/A</v>
      </c>
    </row>
    <row r="712" spans="1:82" ht="61.5" x14ac:dyDescent="0.85">
      <c r="A712" s="20">
        <v>1</v>
      </c>
      <c r="B712" s="66">
        <f>SUBTOTAL(103,$A$554:A712)</f>
        <v>157</v>
      </c>
      <c r="C712" s="24" t="s">
        <v>203</v>
      </c>
      <c r="D712" s="31">
        <f t="shared" si="135"/>
        <v>686139</v>
      </c>
      <c r="E712" s="31">
        <v>0</v>
      </c>
      <c r="F712" s="31">
        <v>0</v>
      </c>
      <c r="G712" s="31">
        <v>0</v>
      </c>
      <c r="H712" s="31">
        <v>150356.32999999999</v>
      </c>
      <c r="I712" s="31">
        <v>456677.17</v>
      </c>
      <c r="J712" s="31">
        <v>0</v>
      </c>
      <c r="K712" s="33">
        <v>0</v>
      </c>
      <c r="L712" s="31">
        <v>0</v>
      </c>
      <c r="M712" s="31">
        <v>0</v>
      </c>
      <c r="N712" s="31">
        <v>0</v>
      </c>
      <c r="O712" s="31">
        <v>0</v>
      </c>
      <c r="P712" s="31">
        <v>0</v>
      </c>
      <c r="Q712" s="31">
        <v>0</v>
      </c>
      <c r="R712" s="31">
        <v>0</v>
      </c>
      <c r="S712" s="31">
        <v>0</v>
      </c>
      <c r="T712" s="31">
        <v>0</v>
      </c>
      <c r="U712" s="31">
        <v>0</v>
      </c>
      <c r="V712" s="31">
        <v>0</v>
      </c>
      <c r="W712" s="31">
        <v>0</v>
      </c>
      <c r="X712" s="31">
        <v>0</v>
      </c>
      <c r="Y712" s="31">
        <v>0</v>
      </c>
      <c r="Z712" s="31">
        <v>0</v>
      </c>
      <c r="AA712" s="31">
        <v>0</v>
      </c>
      <c r="AB712" s="31">
        <v>0</v>
      </c>
      <c r="AC712" s="31">
        <f>ROUND((E712+F712+G712+H712+I712+J712)*1.5%,2)</f>
        <v>9105.5</v>
      </c>
      <c r="AD712" s="31">
        <v>70000</v>
      </c>
      <c r="AE712" s="31">
        <v>0</v>
      </c>
      <c r="AF712" s="34">
        <v>2021</v>
      </c>
      <c r="AG712" s="34">
        <v>2021</v>
      </c>
      <c r="AH712" s="35">
        <v>2021</v>
      </c>
      <c r="AT712" s="20" t="e">
        <f t="shared" si="134"/>
        <v>#N/A</v>
      </c>
      <c r="BZ712" s="71"/>
      <c r="CD712" s="20" t="e">
        <f t="shared" si="126"/>
        <v>#N/A</v>
      </c>
    </row>
    <row r="713" spans="1:82" ht="61.5" x14ac:dyDescent="0.85">
      <c r="A713" s="20">
        <v>1</v>
      </c>
      <c r="B713" s="66">
        <f>SUBTOTAL(103,$A$554:A713)</f>
        <v>158</v>
      </c>
      <c r="C713" s="24" t="s">
        <v>204</v>
      </c>
      <c r="D713" s="31">
        <f t="shared" si="135"/>
        <v>783943</v>
      </c>
      <c r="E713" s="31">
        <v>0</v>
      </c>
      <c r="F713" s="31">
        <v>0</v>
      </c>
      <c r="G713" s="31">
        <v>0</v>
      </c>
      <c r="H713" s="31">
        <v>0</v>
      </c>
      <c r="I713" s="31">
        <v>703392.12</v>
      </c>
      <c r="J713" s="31">
        <v>0</v>
      </c>
      <c r="K713" s="33">
        <v>0</v>
      </c>
      <c r="L713" s="31">
        <v>0</v>
      </c>
      <c r="M713" s="31">
        <v>0</v>
      </c>
      <c r="N713" s="31">
        <v>0</v>
      </c>
      <c r="O713" s="31">
        <v>0</v>
      </c>
      <c r="P713" s="31">
        <v>0</v>
      </c>
      <c r="Q713" s="31">
        <v>0</v>
      </c>
      <c r="R713" s="31">
        <v>0</v>
      </c>
      <c r="S713" s="31">
        <v>0</v>
      </c>
      <c r="T713" s="31">
        <v>0</v>
      </c>
      <c r="U713" s="31">
        <v>0</v>
      </c>
      <c r="V713" s="31">
        <v>0</v>
      </c>
      <c r="W713" s="31">
        <v>0</v>
      </c>
      <c r="X713" s="31">
        <v>0</v>
      </c>
      <c r="Y713" s="31">
        <v>0</v>
      </c>
      <c r="Z713" s="31">
        <v>0</v>
      </c>
      <c r="AA713" s="31">
        <v>0</v>
      </c>
      <c r="AB713" s="31">
        <v>0</v>
      </c>
      <c r="AC713" s="31">
        <f>ROUND((E713+F713+G713+H713+I713+J713)*1.5%,2)</f>
        <v>10550.88</v>
      </c>
      <c r="AD713" s="31">
        <v>70000</v>
      </c>
      <c r="AE713" s="31">
        <v>0</v>
      </c>
      <c r="AF713" s="34">
        <v>2021</v>
      </c>
      <c r="AG713" s="34">
        <v>2021</v>
      </c>
      <c r="AH713" s="35">
        <v>2021</v>
      </c>
      <c r="AT713" s="20" t="e">
        <f t="shared" si="134"/>
        <v>#N/A</v>
      </c>
      <c r="BZ713" s="71"/>
      <c r="CD713" s="20" t="e">
        <f t="shared" si="126"/>
        <v>#N/A</v>
      </c>
    </row>
    <row r="714" spans="1:82" ht="61.5" x14ac:dyDescent="0.85">
      <c r="A714" s="20">
        <v>1</v>
      </c>
      <c r="B714" s="66">
        <f>SUBTOTAL(103,$A$554:A714)</f>
        <v>159</v>
      </c>
      <c r="C714" s="24" t="s">
        <v>205</v>
      </c>
      <c r="D714" s="31">
        <f t="shared" si="135"/>
        <v>776127.96</v>
      </c>
      <c r="E714" s="31">
        <v>0</v>
      </c>
      <c r="F714" s="31">
        <v>0</v>
      </c>
      <c r="G714" s="31">
        <v>0</v>
      </c>
      <c r="H714" s="31">
        <v>0</v>
      </c>
      <c r="I714" s="31">
        <v>695692.57</v>
      </c>
      <c r="J714" s="31">
        <v>0</v>
      </c>
      <c r="K714" s="33">
        <v>0</v>
      </c>
      <c r="L714" s="31">
        <v>0</v>
      </c>
      <c r="M714" s="31">
        <v>0</v>
      </c>
      <c r="N714" s="31">
        <v>0</v>
      </c>
      <c r="O714" s="31">
        <v>0</v>
      </c>
      <c r="P714" s="31">
        <v>0</v>
      </c>
      <c r="Q714" s="31">
        <v>0</v>
      </c>
      <c r="R714" s="31">
        <v>0</v>
      </c>
      <c r="S714" s="31">
        <v>0</v>
      </c>
      <c r="T714" s="31">
        <v>0</v>
      </c>
      <c r="U714" s="31">
        <v>0</v>
      </c>
      <c r="V714" s="31">
        <v>0</v>
      </c>
      <c r="W714" s="31">
        <v>0</v>
      </c>
      <c r="X714" s="31">
        <v>0</v>
      </c>
      <c r="Y714" s="31">
        <v>0</v>
      </c>
      <c r="Z714" s="31">
        <v>0</v>
      </c>
      <c r="AA714" s="31">
        <v>0</v>
      </c>
      <c r="AB714" s="31">
        <v>0</v>
      </c>
      <c r="AC714" s="31">
        <f>ROUND((E714+F714+G714+H714+I714+J714)*1.5%,2)</f>
        <v>10435.39</v>
      </c>
      <c r="AD714" s="31">
        <v>70000</v>
      </c>
      <c r="AE714" s="31">
        <v>0</v>
      </c>
      <c r="AF714" s="34">
        <v>2021</v>
      </c>
      <c r="AG714" s="34">
        <v>2021</v>
      </c>
      <c r="AH714" s="35">
        <v>2021</v>
      </c>
      <c r="AT714" s="20" t="e">
        <f t="shared" si="134"/>
        <v>#N/A</v>
      </c>
      <c r="BZ714" s="71"/>
      <c r="CD714" s="20" t="e">
        <f t="shared" si="126"/>
        <v>#N/A</v>
      </c>
    </row>
    <row r="715" spans="1:82" ht="61.5" x14ac:dyDescent="0.85">
      <c r="A715" s="20">
        <v>1</v>
      </c>
      <c r="B715" s="66">
        <f>SUBTOTAL(103,$A$554:A715)</f>
        <v>160</v>
      </c>
      <c r="C715" s="24" t="s">
        <v>417</v>
      </c>
      <c r="D715" s="31">
        <f t="shared" si="135"/>
        <v>2375000</v>
      </c>
      <c r="E715" s="31">
        <v>0</v>
      </c>
      <c r="F715" s="31">
        <v>0</v>
      </c>
      <c r="G715" s="31">
        <v>0</v>
      </c>
      <c r="H715" s="31">
        <v>0</v>
      </c>
      <c r="I715" s="31">
        <v>0</v>
      </c>
      <c r="J715" s="31">
        <v>0</v>
      </c>
      <c r="K715" s="33">
        <v>0</v>
      </c>
      <c r="L715" s="31">
        <v>0</v>
      </c>
      <c r="M715" s="31">
        <v>477</v>
      </c>
      <c r="N715" s="31">
        <v>2221674.88</v>
      </c>
      <c r="O715" s="31">
        <v>0</v>
      </c>
      <c r="P715" s="31">
        <v>0</v>
      </c>
      <c r="Q715" s="31">
        <v>0</v>
      </c>
      <c r="R715" s="31">
        <v>0</v>
      </c>
      <c r="S715" s="31">
        <v>0</v>
      </c>
      <c r="T715" s="31">
        <v>0</v>
      </c>
      <c r="U715" s="31">
        <v>0</v>
      </c>
      <c r="V715" s="31">
        <v>0</v>
      </c>
      <c r="W715" s="31">
        <v>0</v>
      </c>
      <c r="X715" s="31">
        <v>0</v>
      </c>
      <c r="Y715" s="31">
        <v>0</v>
      </c>
      <c r="Z715" s="31">
        <v>0</v>
      </c>
      <c r="AA715" s="31">
        <v>0</v>
      </c>
      <c r="AB715" s="31">
        <v>0</v>
      </c>
      <c r="AC715" s="31">
        <f t="shared" ref="AC715:AC730" si="136">ROUND(N715*1.5%,2)</f>
        <v>33325.120000000003</v>
      </c>
      <c r="AD715" s="31">
        <v>120000</v>
      </c>
      <c r="AE715" s="31">
        <v>0</v>
      </c>
      <c r="AF715" s="34">
        <v>2021</v>
      </c>
      <c r="AG715" s="34">
        <v>2021</v>
      </c>
      <c r="AH715" s="35">
        <v>2021</v>
      </c>
      <c r="AT715" s="20" t="e">
        <f t="shared" si="134"/>
        <v>#N/A</v>
      </c>
      <c r="BZ715" s="71"/>
      <c r="CD715" s="20" t="e">
        <f t="shared" si="126"/>
        <v>#N/A</v>
      </c>
    </row>
    <row r="716" spans="1:82" ht="61.5" x14ac:dyDescent="0.85">
      <c r="A716" s="20">
        <v>1</v>
      </c>
      <c r="B716" s="66">
        <f>SUBTOTAL(103,$A$554:A716)</f>
        <v>161</v>
      </c>
      <c r="C716" s="24" t="s">
        <v>418</v>
      </c>
      <c r="D716" s="31">
        <f t="shared" si="135"/>
        <v>2360000</v>
      </c>
      <c r="E716" s="31">
        <v>0</v>
      </c>
      <c r="F716" s="31">
        <v>0</v>
      </c>
      <c r="G716" s="31">
        <v>0</v>
      </c>
      <c r="H716" s="31">
        <v>0</v>
      </c>
      <c r="I716" s="31">
        <v>0</v>
      </c>
      <c r="J716" s="31">
        <v>0</v>
      </c>
      <c r="K716" s="33">
        <v>0</v>
      </c>
      <c r="L716" s="31">
        <v>0</v>
      </c>
      <c r="M716" s="31">
        <v>472</v>
      </c>
      <c r="N716" s="31">
        <v>2206896.5499999998</v>
      </c>
      <c r="O716" s="31">
        <v>0</v>
      </c>
      <c r="P716" s="31">
        <v>0</v>
      </c>
      <c r="Q716" s="31">
        <v>0</v>
      </c>
      <c r="R716" s="31">
        <v>0</v>
      </c>
      <c r="S716" s="31">
        <v>0</v>
      </c>
      <c r="T716" s="31">
        <v>0</v>
      </c>
      <c r="U716" s="31">
        <v>0</v>
      </c>
      <c r="V716" s="31">
        <v>0</v>
      </c>
      <c r="W716" s="31">
        <v>0</v>
      </c>
      <c r="X716" s="31">
        <v>0</v>
      </c>
      <c r="Y716" s="31">
        <v>0</v>
      </c>
      <c r="Z716" s="31">
        <v>0</v>
      </c>
      <c r="AA716" s="31">
        <v>0</v>
      </c>
      <c r="AB716" s="31">
        <v>0</v>
      </c>
      <c r="AC716" s="31">
        <f t="shared" si="136"/>
        <v>33103.449999999997</v>
      </c>
      <c r="AD716" s="31">
        <v>120000</v>
      </c>
      <c r="AE716" s="31">
        <v>0</v>
      </c>
      <c r="AF716" s="34">
        <v>2021</v>
      </c>
      <c r="AG716" s="34">
        <v>2021</v>
      </c>
      <c r="AH716" s="35">
        <v>2021</v>
      </c>
      <c r="AT716" s="20" t="e">
        <f t="shared" si="134"/>
        <v>#N/A</v>
      </c>
      <c r="BZ716" s="71"/>
      <c r="CD716" s="20" t="e">
        <f t="shared" si="126"/>
        <v>#N/A</v>
      </c>
    </row>
    <row r="717" spans="1:82" ht="61.5" x14ac:dyDescent="0.85">
      <c r="A717" s="20">
        <v>1</v>
      </c>
      <c r="B717" s="66">
        <f>SUBTOTAL(103,$A$554:A717)</f>
        <v>162</v>
      </c>
      <c r="C717" s="24" t="s">
        <v>419</v>
      </c>
      <c r="D717" s="31">
        <f t="shared" si="135"/>
        <v>2345000</v>
      </c>
      <c r="E717" s="31">
        <v>0</v>
      </c>
      <c r="F717" s="31">
        <v>0</v>
      </c>
      <c r="G717" s="31">
        <v>0</v>
      </c>
      <c r="H717" s="31">
        <v>0</v>
      </c>
      <c r="I717" s="31">
        <v>0</v>
      </c>
      <c r="J717" s="31">
        <v>0</v>
      </c>
      <c r="K717" s="33">
        <v>0</v>
      </c>
      <c r="L717" s="31">
        <v>0</v>
      </c>
      <c r="M717" s="31">
        <v>469</v>
      </c>
      <c r="N717" s="31">
        <v>2192118.23</v>
      </c>
      <c r="O717" s="31">
        <v>0</v>
      </c>
      <c r="P717" s="31">
        <v>0</v>
      </c>
      <c r="Q717" s="31">
        <v>0</v>
      </c>
      <c r="R717" s="31">
        <v>0</v>
      </c>
      <c r="S717" s="31">
        <v>0</v>
      </c>
      <c r="T717" s="31">
        <v>0</v>
      </c>
      <c r="U717" s="31">
        <v>0</v>
      </c>
      <c r="V717" s="31">
        <v>0</v>
      </c>
      <c r="W717" s="31">
        <v>0</v>
      </c>
      <c r="X717" s="31">
        <v>0</v>
      </c>
      <c r="Y717" s="31">
        <v>0</v>
      </c>
      <c r="Z717" s="31">
        <v>0</v>
      </c>
      <c r="AA717" s="31">
        <v>0</v>
      </c>
      <c r="AB717" s="31">
        <v>0</v>
      </c>
      <c r="AC717" s="31">
        <f t="shared" si="136"/>
        <v>32881.769999999997</v>
      </c>
      <c r="AD717" s="31">
        <v>120000</v>
      </c>
      <c r="AE717" s="31">
        <v>0</v>
      </c>
      <c r="AF717" s="34">
        <v>2021</v>
      </c>
      <c r="AG717" s="34">
        <v>2021</v>
      </c>
      <c r="AH717" s="35">
        <v>2021</v>
      </c>
      <c r="AT717" s="20" t="e">
        <f t="shared" si="134"/>
        <v>#N/A</v>
      </c>
      <c r="BZ717" s="71"/>
      <c r="CD717" s="20" t="e">
        <f t="shared" si="126"/>
        <v>#N/A</v>
      </c>
    </row>
    <row r="718" spans="1:82" ht="61.5" x14ac:dyDescent="0.85">
      <c r="A718" s="20">
        <v>1</v>
      </c>
      <c r="B718" s="66">
        <f>SUBTOTAL(103,$A$554:A718)</f>
        <v>163</v>
      </c>
      <c r="C718" s="24" t="s">
        <v>420</v>
      </c>
      <c r="D718" s="31">
        <f t="shared" si="135"/>
        <v>6570450</v>
      </c>
      <c r="E718" s="31">
        <v>0</v>
      </c>
      <c r="F718" s="31">
        <v>0</v>
      </c>
      <c r="G718" s="31">
        <v>0</v>
      </c>
      <c r="H718" s="31">
        <v>0</v>
      </c>
      <c r="I718" s="31">
        <v>0</v>
      </c>
      <c r="J718" s="31">
        <v>0</v>
      </c>
      <c r="K718" s="33">
        <v>0</v>
      </c>
      <c r="L718" s="31">
        <v>0</v>
      </c>
      <c r="M718" s="31">
        <v>1314</v>
      </c>
      <c r="N718" s="31">
        <v>6296009.8499999996</v>
      </c>
      <c r="O718" s="31">
        <v>0</v>
      </c>
      <c r="P718" s="31">
        <v>0</v>
      </c>
      <c r="Q718" s="31">
        <v>0</v>
      </c>
      <c r="R718" s="31">
        <v>0</v>
      </c>
      <c r="S718" s="31">
        <v>0</v>
      </c>
      <c r="T718" s="31">
        <v>0</v>
      </c>
      <c r="U718" s="31">
        <v>0</v>
      </c>
      <c r="V718" s="31">
        <v>0</v>
      </c>
      <c r="W718" s="31">
        <v>0</v>
      </c>
      <c r="X718" s="31">
        <v>0</v>
      </c>
      <c r="Y718" s="31">
        <v>0</v>
      </c>
      <c r="Z718" s="31">
        <v>0</v>
      </c>
      <c r="AA718" s="31">
        <v>0</v>
      </c>
      <c r="AB718" s="31">
        <v>0</v>
      </c>
      <c r="AC718" s="31">
        <f t="shared" si="136"/>
        <v>94440.15</v>
      </c>
      <c r="AD718" s="31">
        <v>180000</v>
      </c>
      <c r="AE718" s="31">
        <v>0</v>
      </c>
      <c r="AF718" s="34">
        <v>2021</v>
      </c>
      <c r="AG718" s="34">
        <v>2021</v>
      </c>
      <c r="AH718" s="35">
        <v>2021</v>
      </c>
      <c r="AT718" s="20" t="e">
        <f t="shared" si="134"/>
        <v>#N/A</v>
      </c>
      <c r="BZ718" s="71"/>
      <c r="CD718" s="20" t="e">
        <f t="shared" si="126"/>
        <v>#N/A</v>
      </c>
    </row>
    <row r="719" spans="1:82" ht="61.5" x14ac:dyDescent="0.85">
      <c r="A719" s="20">
        <v>1</v>
      </c>
      <c r="B719" s="66">
        <f>SUBTOTAL(103,$A$554:A719)</f>
        <v>164</v>
      </c>
      <c r="C719" s="24" t="s">
        <v>421</v>
      </c>
      <c r="D719" s="31">
        <f t="shared" si="135"/>
        <v>5669999.9900000002</v>
      </c>
      <c r="E719" s="31">
        <v>0</v>
      </c>
      <c r="F719" s="31">
        <v>0</v>
      </c>
      <c r="G719" s="31">
        <v>0</v>
      </c>
      <c r="H719" s="31">
        <v>0</v>
      </c>
      <c r="I719" s="31">
        <v>0</v>
      </c>
      <c r="J719" s="31">
        <v>0</v>
      </c>
      <c r="K719" s="33">
        <v>0</v>
      </c>
      <c r="L719" s="31">
        <v>0</v>
      </c>
      <c r="M719" s="31">
        <v>1134</v>
      </c>
      <c r="N719" s="31">
        <v>5408866.9900000002</v>
      </c>
      <c r="O719" s="31">
        <v>0</v>
      </c>
      <c r="P719" s="31">
        <v>0</v>
      </c>
      <c r="Q719" s="31">
        <v>0</v>
      </c>
      <c r="R719" s="31">
        <v>0</v>
      </c>
      <c r="S719" s="31">
        <v>0</v>
      </c>
      <c r="T719" s="31">
        <v>0</v>
      </c>
      <c r="U719" s="31">
        <v>0</v>
      </c>
      <c r="V719" s="31">
        <v>0</v>
      </c>
      <c r="W719" s="31">
        <v>0</v>
      </c>
      <c r="X719" s="31">
        <v>0</v>
      </c>
      <c r="Y719" s="31">
        <v>0</v>
      </c>
      <c r="Z719" s="31">
        <v>0</v>
      </c>
      <c r="AA719" s="31">
        <v>0</v>
      </c>
      <c r="AB719" s="31">
        <v>0</v>
      </c>
      <c r="AC719" s="31">
        <f t="shared" si="136"/>
        <v>81133</v>
      </c>
      <c r="AD719" s="31">
        <v>180000</v>
      </c>
      <c r="AE719" s="31">
        <v>0</v>
      </c>
      <c r="AF719" s="34">
        <v>2021</v>
      </c>
      <c r="AG719" s="34">
        <v>2021</v>
      </c>
      <c r="AH719" s="35">
        <v>2021</v>
      </c>
      <c r="AT719" s="20" t="e">
        <f t="shared" si="134"/>
        <v>#N/A</v>
      </c>
      <c r="BZ719" s="71"/>
      <c r="CD719" s="20" t="e">
        <f t="shared" si="126"/>
        <v>#N/A</v>
      </c>
    </row>
    <row r="720" spans="1:82" ht="61.5" x14ac:dyDescent="0.85">
      <c r="A720" s="20">
        <v>1</v>
      </c>
      <c r="B720" s="66">
        <f>SUBTOTAL(103,$A$554:A720)</f>
        <v>165</v>
      </c>
      <c r="C720" s="24" t="s">
        <v>422</v>
      </c>
      <c r="D720" s="31">
        <f t="shared" si="135"/>
        <v>2895000</v>
      </c>
      <c r="E720" s="31">
        <v>0</v>
      </c>
      <c r="F720" s="31">
        <v>0</v>
      </c>
      <c r="G720" s="31">
        <v>0</v>
      </c>
      <c r="H720" s="31">
        <v>0</v>
      </c>
      <c r="I720" s="31">
        <v>0</v>
      </c>
      <c r="J720" s="31">
        <v>0</v>
      </c>
      <c r="K720" s="33">
        <v>0</v>
      </c>
      <c r="L720" s="31">
        <v>0</v>
      </c>
      <c r="M720" s="31">
        <v>579</v>
      </c>
      <c r="N720" s="31">
        <v>2704433.5</v>
      </c>
      <c r="O720" s="31">
        <v>0</v>
      </c>
      <c r="P720" s="31">
        <v>0</v>
      </c>
      <c r="Q720" s="31">
        <v>0</v>
      </c>
      <c r="R720" s="31">
        <v>0</v>
      </c>
      <c r="S720" s="31">
        <v>0</v>
      </c>
      <c r="T720" s="31">
        <v>0</v>
      </c>
      <c r="U720" s="31">
        <v>0</v>
      </c>
      <c r="V720" s="31">
        <v>0</v>
      </c>
      <c r="W720" s="31">
        <v>0</v>
      </c>
      <c r="X720" s="31">
        <v>0</v>
      </c>
      <c r="Y720" s="31">
        <v>0</v>
      </c>
      <c r="Z720" s="31">
        <v>0</v>
      </c>
      <c r="AA720" s="31">
        <v>0</v>
      </c>
      <c r="AB720" s="31">
        <v>0</v>
      </c>
      <c r="AC720" s="31">
        <f t="shared" si="136"/>
        <v>40566.5</v>
      </c>
      <c r="AD720" s="31">
        <v>150000</v>
      </c>
      <c r="AE720" s="31">
        <v>0</v>
      </c>
      <c r="AF720" s="34">
        <v>2021</v>
      </c>
      <c r="AG720" s="34">
        <v>2021</v>
      </c>
      <c r="AH720" s="35">
        <v>2021</v>
      </c>
      <c r="AT720" s="20" t="e">
        <f t="shared" si="134"/>
        <v>#N/A</v>
      </c>
      <c r="BZ720" s="71"/>
      <c r="CD720" s="20" t="e">
        <f t="shared" si="126"/>
        <v>#N/A</v>
      </c>
    </row>
    <row r="721" spans="1:82" ht="61.5" x14ac:dyDescent="0.85">
      <c r="A721" s="20">
        <v>1</v>
      </c>
      <c r="B721" s="66">
        <f>SUBTOTAL(103,$A$554:A721)</f>
        <v>166</v>
      </c>
      <c r="C721" s="24" t="s">
        <v>423</v>
      </c>
      <c r="D721" s="31">
        <f t="shared" si="135"/>
        <v>2850000</v>
      </c>
      <c r="E721" s="31">
        <v>0</v>
      </c>
      <c r="F721" s="31">
        <v>0</v>
      </c>
      <c r="G721" s="31">
        <v>0</v>
      </c>
      <c r="H721" s="31">
        <v>0</v>
      </c>
      <c r="I721" s="31">
        <v>0</v>
      </c>
      <c r="J721" s="31">
        <v>0</v>
      </c>
      <c r="K721" s="33">
        <v>0</v>
      </c>
      <c r="L721" s="31">
        <v>0</v>
      </c>
      <c r="M721" s="31">
        <v>570</v>
      </c>
      <c r="N721" s="31">
        <v>2660098.52</v>
      </c>
      <c r="O721" s="31">
        <v>0</v>
      </c>
      <c r="P721" s="31">
        <v>0</v>
      </c>
      <c r="Q721" s="31">
        <v>0</v>
      </c>
      <c r="R721" s="31">
        <v>0</v>
      </c>
      <c r="S721" s="31">
        <v>0</v>
      </c>
      <c r="T721" s="31">
        <v>0</v>
      </c>
      <c r="U721" s="31">
        <v>0</v>
      </c>
      <c r="V721" s="31">
        <v>0</v>
      </c>
      <c r="W721" s="31">
        <v>0</v>
      </c>
      <c r="X721" s="31">
        <v>0</v>
      </c>
      <c r="Y721" s="31">
        <v>0</v>
      </c>
      <c r="Z721" s="31">
        <v>0</v>
      </c>
      <c r="AA721" s="31">
        <v>0</v>
      </c>
      <c r="AB721" s="31">
        <v>0</v>
      </c>
      <c r="AC721" s="31">
        <f t="shared" si="136"/>
        <v>39901.480000000003</v>
      </c>
      <c r="AD721" s="31">
        <v>150000</v>
      </c>
      <c r="AE721" s="31">
        <v>0</v>
      </c>
      <c r="AF721" s="34">
        <v>2021</v>
      </c>
      <c r="AG721" s="34">
        <v>2021</v>
      </c>
      <c r="AH721" s="35">
        <v>2021</v>
      </c>
      <c r="AT721" s="20" t="e">
        <f t="shared" si="134"/>
        <v>#N/A</v>
      </c>
      <c r="BZ721" s="71"/>
      <c r="CD721" s="20" t="e">
        <f t="shared" si="126"/>
        <v>#N/A</v>
      </c>
    </row>
    <row r="722" spans="1:82" ht="61.5" x14ac:dyDescent="0.85">
      <c r="A722" s="20">
        <v>1</v>
      </c>
      <c r="B722" s="66">
        <f>SUBTOTAL(103,$A$554:A722)</f>
        <v>167</v>
      </c>
      <c r="C722" s="24" t="s">
        <v>424</v>
      </c>
      <c r="D722" s="31">
        <f t="shared" si="135"/>
        <v>1600000</v>
      </c>
      <c r="E722" s="31">
        <v>0</v>
      </c>
      <c r="F722" s="31">
        <v>0</v>
      </c>
      <c r="G722" s="31">
        <v>0</v>
      </c>
      <c r="H722" s="31">
        <v>0</v>
      </c>
      <c r="I722" s="31">
        <v>0</v>
      </c>
      <c r="J722" s="31">
        <v>0</v>
      </c>
      <c r="K722" s="33">
        <v>0</v>
      </c>
      <c r="L722" s="31">
        <v>0</v>
      </c>
      <c r="M722" s="31">
        <v>322</v>
      </c>
      <c r="N722" s="31">
        <v>1458128.08</v>
      </c>
      <c r="O722" s="31">
        <v>0</v>
      </c>
      <c r="P722" s="31">
        <v>0</v>
      </c>
      <c r="Q722" s="31">
        <v>0</v>
      </c>
      <c r="R722" s="31">
        <v>0</v>
      </c>
      <c r="S722" s="31">
        <v>0</v>
      </c>
      <c r="T722" s="31">
        <v>0</v>
      </c>
      <c r="U722" s="31">
        <v>0</v>
      </c>
      <c r="V722" s="31">
        <v>0</v>
      </c>
      <c r="W722" s="31">
        <v>0</v>
      </c>
      <c r="X722" s="31">
        <v>0</v>
      </c>
      <c r="Y722" s="31">
        <v>0</v>
      </c>
      <c r="Z722" s="31">
        <v>0</v>
      </c>
      <c r="AA722" s="31">
        <v>0</v>
      </c>
      <c r="AB722" s="31">
        <v>0</v>
      </c>
      <c r="AC722" s="31">
        <f t="shared" si="136"/>
        <v>21871.919999999998</v>
      </c>
      <c r="AD722" s="31">
        <v>120000</v>
      </c>
      <c r="AE722" s="31">
        <v>0</v>
      </c>
      <c r="AF722" s="34">
        <v>2021</v>
      </c>
      <c r="AG722" s="34">
        <v>2021</v>
      </c>
      <c r="AH722" s="35">
        <v>2021</v>
      </c>
      <c r="AT722" s="20" t="e">
        <f t="shared" si="134"/>
        <v>#N/A</v>
      </c>
      <c r="BZ722" s="71"/>
      <c r="CD722" s="20" t="e">
        <f t="shared" si="126"/>
        <v>#N/A</v>
      </c>
    </row>
    <row r="723" spans="1:82" ht="61.5" x14ac:dyDescent="0.85">
      <c r="A723" s="20">
        <v>1</v>
      </c>
      <c r="B723" s="66">
        <f>SUBTOTAL(103,$A$554:A723)</f>
        <v>168</v>
      </c>
      <c r="C723" s="24" t="s">
        <v>425</v>
      </c>
      <c r="D723" s="31">
        <f t="shared" si="135"/>
        <v>8150000</v>
      </c>
      <c r="E723" s="31">
        <v>0</v>
      </c>
      <c r="F723" s="31">
        <v>0</v>
      </c>
      <c r="G723" s="31">
        <v>0</v>
      </c>
      <c r="H723" s="31">
        <v>0</v>
      </c>
      <c r="I723" s="31">
        <v>0</v>
      </c>
      <c r="J723" s="31">
        <v>0</v>
      </c>
      <c r="K723" s="33">
        <v>0</v>
      </c>
      <c r="L723" s="31">
        <v>0</v>
      </c>
      <c r="M723" s="31">
        <v>1630</v>
      </c>
      <c r="N723" s="31">
        <v>7852216.75</v>
      </c>
      <c r="O723" s="31">
        <v>0</v>
      </c>
      <c r="P723" s="31">
        <v>0</v>
      </c>
      <c r="Q723" s="31">
        <v>0</v>
      </c>
      <c r="R723" s="31">
        <v>0</v>
      </c>
      <c r="S723" s="31">
        <v>0</v>
      </c>
      <c r="T723" s="31">
        <v>0</v>
      </c>
      <c r="U723" s="31">
        <v>0</v>
      </c>
      <c r="V723" s="31">
        <v>0</v>
      </c>
      <c r="W723" s="31">
        <v>0</v>
      </c>
      <c r="X723" s="31">
        <v>0</v>
      </c>
      <c r="Y723" s="31">
        <v>0</v>
      </c>
      <c r="Z723" s="31">
        <v>0</v>
      </c>
      <c r="AA723" s="31">
        <v>0</v>
      </c>
      <c r="AB723" s="31">
        <v>0</v>
      </c>
      <c r="AC723" s="31">
        <f t="shared" si="136"/>
        <v>117783.25</v>
      </c>
      <c r="AD723" s="31">
        <v>180000</v>
      </c>
      <c r="AE723" s="31">
        <v>0</v>
      </c>
      <c r="AF723" s="34">
        <v>2021</v>
      </c>
      <c r="AG723" s="34">
        <v>2021</v>
      </c>
      <c r="AH723" s="35">
        <v>2021</v>
      </c>
      <c r="AT723" s="20" t="e">
        <f t="shared" si="134"/>
        <v>#N/A</v>
      </c>
      <c r="BZ723" s="71"/>
      <c r="CD723" s="20" t="e">
        <f t="shared" si="126"/>
        <v>#N/A</v>
      </c>
    </row>
    <row r="724" spans="1:82" ht="61.5" x14ac:dyDescent="0.85">
      <c r="A724" s="20">
        <v>1</v>
      </c>
      <c r="B724" s="66">
        <f>SUBTOTAL(103,$A$554:A724)</f>
        <v>169</v>
      </c>
      <c r="C724" s="24" t="s">
        <v>426</v>
      </c>
      <c r="D724" s="31">
        <f t="shared" si="135"/>
        <v>2500000</v>
      </c>
      <c r="E724" s="31">
        <v>0</v>
      </c>
      <c r="F724" s="31">
        <v>0</v>
      </c>
      <c r="G724" s="31">
        <v>0</v>
      </c>
      <c r="H724" s="31">
        <v>0</v>
      </c>
      <c r="I724" s="31">
        <v>0</v>
      </c>
      <c r="J724" s="31">
        <v>0</v>
      </c>
      <c r="K724" s="33">
        <v>0</v>
      </c>
      <c r="L724" s="31">
        <v>0</v>
      </c>
      <c r="M724" s="31">
        <v>500</v>
      </c>
      <c r="N724" s="31">
        <v>2344827.59</v>
      </c>
      <c r="O724" s="31">
        <v>0</v>
      </c>
      <c r="P724" s="31">
        <v>0</v>
      </c>
      <c r="Q724" s="31">
        <v>0</v>
      </c>
      <c r="R724" s="31">
        <v>0</v>
      </c>
      <c r="S724" s="31">
        <v>0</v>
      </c>
      <c r="T724" s="31">
        <v>0</v>
      </c>
      <c r="U724" s="31">
        <v>0</v>
      </c>
      <c r="V724" s="31">
        <v>0</v>
      </c>
      <c r="W724" s="31">
        <v>0</v>
      </c>
      <c r="X724" s="31">
        <v>0</v>
      </c>
      <c r="Y724" s="31">
        <v>0</v>
      </c>
      <c r="Z724" s="31">
        <v>0</v>
      </c>
      <c r="AA724" s="31">
        <v>0</v>
      </c>
      <c r="AB724" s="31">
        <v>0</v>
      </c>
      <c r="AC724" s="31">
        <f t="shared" si="136"/>
        <v>35172.410000000003</v>
      </c>
      <c r="AD724" s="31">
        <v>120000</v>
      </c>
      <c r="AE724" s="31">
        <v>0</v>
      </c>
      <c r="AF724" s="34">
        <v>2021</v>
      </c>
      <c r="AG724" s="34">
        <v>2021</v>
      </c>
      <c r="AH724" s="35">
        <v>2021</v>
      </c>
      <c r="AT724" s="20" t="e">
        <f t="shared" si="134"/>
        <v>#N/A</v>
      </c>
      <c r="BZ724" s="71"/>
      <c r="CD724" s="20" t="e">
        <f t="shared" si="126"/>
        <v>#N/A</v>
      </c>
    </row>
    <row r="725" spans="1:82" ht="61.5" x14ac:dyDescent="0.85">
      <c r="A725" s="20">
        <v>1</v>
      </c>
      <c r="B725" s="66">
        <f>SUBTOTAL(103,$A$554:A725)</f>
        <v>170</v>
      </c>
      <c r="C725" s="24" t="s">
        <v>427</v>
      </c>
      <c r="D725" s="31">
        <f t="shared" si="135"/>
        <v>2131474</v>
      </c>
      <c r="E725" s="31">
        <v>0</v>
      </c>
      <c r="F725" s="31">
        <v>0</v>
      </c>
      <c r="G725" s="31">
        <v>0</v>
      </c>
      <c r="H725" s="31">
        <v>0</v>
      </c>
      <c r="I725" s="31">
        <v>0</v>
      </c>
      <c r="J725" s="31">
        <v>0</v>
      </c>
      <c r="K725" s="33">
        <v>0</v>
      </c>
      <c r="L725" s="31">
        <v>0</v>
      </c>
      <c r="M725" s="31">
        <v>420</v>
      </c>
      <c r="N725" s="31">
        <v>1981747.78</v>
      </c>
      <c r="O725" s="31">
        <v>0</v>
      </c>
      <c r="P725" s="31">
        <v>0</v>
      </c>
      <c r="Q725" s="31">
        <v>0</v>
      </c>
      <c r="R725" s="31">
        <v>0</v>
      </c>
      <c r="S725" s="31">
        <v>0</v>
      </c>
      <c r="T725" s="31">
        <v>0</v>
      </c>
      <c r="U725" s="31">
        <v>0</v>
      </c>
      <c r="V725" s="31">
        <v>0</v>
      </c>
      <c r="W725" s="31">
        <v>0</v>
      </c>
      <c r="X725" s="31">
        <v>0</v>
      </c>
      <c r="Y725" s="31">
        <v>0</v>
      </c>
      <c r="Z725" s="31">
        <v>0</v>
      </c>
      <c r="AA725" s="31">
        <v>0</v>
      </c>
      <c r="AB725" s="31">
        <v>0</v>
      </c>
      <c r="AC725" s="31">
        <f t="shared" si="136"/>
        <v>29726.22</v>
      </c>
      <c r="AD725" s="31">
        <v>120000</v>
      </c>
      <c r="AE725" s="31">
        <v>0</v>
      </c>
      <c r="AF725" s="34">
        <v>2021</v>
      </c>
      <c r="AG725" s="34">
        <v>2021</v>
      </c>
      <c r="AH725" s="35">
        <v>2021</v>
      </c>
      <c r="AT725" s="20" t="e">
        <f t="shared" si="134"/>
        <v>#N/A</v>
      </c>
      <c r="BZ725" s="71"/>
      <c r="CD725" s="20" t="e">
        <f t="shared" si="126"/>
        <v>#N/A</v>
      </c>
    </row>
    <row r="726" spans="1:82" ht="61.5" x14ac:dyDescent="0.85">
      <c r="A726" s="20">
        <v>1</v>
      </c>
      <c r="B726" s="66">
        <f>SUBTOTAL(103,$A$554:A726)</f>
        <v>171</v>
      </c>
      <c r="C726" s="24" t="s">
        <v>206</v>
      </c>
      <c r="D726" s="31">
        <f t="shared" si="135"/>
        <v>3697950</v>
      </c>
      <c r="E726" s="31">
        <v>0</v>
      </c>
      <c r="F726" s="31">
        <v>0</v>
      </c>
      <c r="G726" s="31">
        <v>0</v>
      </c>
      <c r="H726" s="31">
        <v>0</v>
      </c>
      <c r="I726" s="31">
        <v>0</v>
      </c>
      <c r="J726" s="31">
        <v>0</v>
      </c>
      <c r="K726" s="33">
        <v>0</v>
      </c>
      <c r="L726" s="31">
        <v>0</v>
      </c>
      <c r="M726" s="31">
        <v>700</v>
      </c>
      <c r="N726" s="31">
        <v>3495517.24</v>
      </c>
      <c r="O726" s="31">
        <v>0</v>
      </c>
      <c r="P726" s="31">
        <v>0</v>
      </c>
      <c r="Q726" s="31">
        <v>0</v>
      </c>
      <c r="R726" s="31">
        <v>0</v>
      </c>
      <c r="S726" s="31">
        <v>0</v>
      </c>
      <c r="T726" s="31">
        <v>0</v>
      </c>
      <c r="U726" s="31">
        <v>0</v>
      </c>
      <c r="V726" s="31">
        <v>0</v>
      </c>
      <c r="W726" s="31">
        <v>0</v>
      </c>
      <c r="X726" s="31">
        <v>0</v>
      </c>
      <c r="Y726" s="31">
        <v>0</v>
      </c>
      <c r="Z726" s="31">
        <v>0</v>
      </c>
      <c r="AA726" s="31">
        <v>0</v>
      </c>
      <c r="AB726" s="31">
        <v>0</v>
      </c>
      <c r="AC726" s="31">
        <f t="shared" si="136"/>
        <v>52432.76</v>
      </c>
      <c r="AD726" s="31">
        <v>150000</v>
      </c>
      <c r="AE726" s="31">
        <v>0</v>
      </c>
      <c r="AF726" s="34">
        <v>2021</v>
      </c>
      <c r="AG726" s="34">
        <v>2021</v>
      </c>
      <c r="AH726" s="35">
        <v>2021</v>
      </c>
      <c r="AT726" s="20" t="e">
        <f t="shared" si="134"/>
        <v>#N/A</v>
      </c>
      <c r="BZ726" s="71"/>
      <c r="CD726" s="20" t="e">
        <f t="shared" si="126"/>
        <v>#N/A</v>
      </c>
    </row>
    <row r="727" spans="1:82" ht="61.5" x14ac:dyDescent="0.85">
      <c r="A727" s="20">
        <v>1</v>
      </c>
      <c r="B727" s="66">
        <f>SUBTOTAL(103,$A$554:A727)</f>
        <v>172</v>
      </c>
      <c r="C727" s="24" t="s">
        <v>208</v>
      </c>
      <c r="D727" s="31">
        <f t="shared" si="135"/>
        <v>3680000</v>
      </c>
      <c r="E727" s="31">
        <v>0</v>
      </c>
      <c r="F727" s="31">
        <v>0</v>
      </c>
      <c r="G727" s="31">
        <v>0</v>
      </c>
      <c r="H727" s="31">
        <v>0</v>
      </c>
      <c r="I727" s="31">
        <v>0</v>
      </c>
      <c r="J727" s="31">
        <v>0</v>
      </c>
      <c r="K727" s="33">
        <v>0</v>
      </c>
      <c r="L727" s="31">
        <v>0</v>
      </c>
      <c r="M727" s="31">
        <v>695</v>
      </c>
      <c r="N727" s="31">
        <v>3477832.51</v>
      </c>
      <c r="O727" s="31">
        <v>0</v>
      </c>
      <c r="P727" s="31">
        <v>0</v>
      </c>
      <c r="Q727" s="31">
        <v>0</v>
      </c>
      <c r="R727" s="31">
        <v>0</v>
      </c>
      <c r="S727" s="31">
        <v>0</v>
      </c>
      <c r="T727" s="31">
        <v>0</v>
      </c>
      <c r="U727" s="31">
        <v>0</v>
      </c>
      <c r="V727" s="31">
        <v>0</v>
      </c>
      <c r="W727" s="31">
        <v>0</v>
      </c>
      <c r="X727" s="31">
        <v>0</v>
      </c>
      <c r="Y727" s="31">
        <v>0</v>
      </c>
      <c r="Z727" s="31">
        <v>0</v>
      </c>
      <c r="AA727" s="31">
        <v>0</v>
      </c>
      <c r="AB727" s="31">
        <v>0</v>
      </c>
      <c r="AC727" s="31">
        <f t="shared" si="136"/>
        <v>52167.49</v>
      </c>
      <c r="AD727" s="31">
        <v>150000</v>
      </c>
      <c r="AE727" s="31">
        <v>0</v>
      </c>
      <c r="AF727" s="34">
        <v>2021</v>
      </c>
      <c r="AG727" s="34">
        <v>2021</v>
      </c>
      <c r="AH727" s="35">
        <v>2021</v>
      </c>
      <c r="AT727" s="20" t="e">
        <f t="shared" si="134"/>
        <v>#N/A</v>
      </c>
      <c r="BZ727" s="71"/>
      <c r="CD727" s="20" t="e">
        <f t="shared" ref="CD727:CD790" si="137">VLOOKUP(C727,CE:CF,2,FALSE)</f>
        <v>#N/A</v>
      </c>
    </row>
    <row r="728" spans="1:82" ht="61.5" x14ac:dyDescent="0.85">
      <c r="A728" s="20">
        <v>1</v>
      </c>
      <c r="B728" s="66">
        <f>SUBTOTAL(103,$A$554:A728)</f>
        <v>173</v>
      </c>
      <c r="C728" s="24" t="s">
        <v>207</v>
      </c>
      <c r="D728" s="31">
        <f t="shared" si="135"/>
        <v>3519757</v>
      </c>
      <c r="E728" s="31">
        <v>0</v>
      </c>
      <c r="F728" s="31">
        <v>0</v>
      </c>
      <c r="G728" s="31">
        <v>0</v>
      </c>
      <c r="H728" s="31">
        <v>0</v>
      </c>
      <c r="I728" s="31">
        <v>0</v>
      </c>
      <c r="J728" s="31">
        <v>0</v>
      </c>
      <c r="K728" s="33">
        <v>0</v>
      </c>
      <c r="L728" s="31">
        <v>0</v>
      </c>
      <c r="M728" s="31">
        <v>666</v>
      </c>
      <c r="N728" s="31">
        <v>3319957.64</v>
      </c>
      <c r="O728" s="31">
        <v>0</v>
      </c>
      <c r="P728" s="31">
        <v>0</v>
      </c>
      <c r="Q728" s="31">
        <v>0</v>
      </c>
      <c r="R728" s="31">
        <v>0</v>
      </c>
      <c r="S728" s="31">
        <v>0</v>
      </c>
      <c r="T728" s="31">
        <v>0</v>
      </c>
      <c r="U728" s="31">
        <v>0</v>
      </c>
      <c r="V728" s="31">
        <v>0</v>
      </c>
      <c r="W728" s="31">
        <v>0</v>
      </c>
      <c r="X728" s="31">
        <v>0</v>
      </c>
      <c r="Y728" s="31">
        <v>0</v>
      </c>
      <c r="Z728" s="31">
        <v>0</v>
      </c>
      <c r="AA728" s="31">
        <v>0</v>
      </c>
      <c r="AB728" s="31">
        <v>0</v>
      </c>
      <c r="AC728" s="31">
        <f t="shared" si="136"/>
        <v>49799.360000000001</v>
      </c>
      <c r="AD728" s="31">
        <v>150000</v>
      </c>
      <c r="AE728" s="31">
        <v>0</v>
      </c>
      <c r="AF728" s="34">
        <v>2021</v>
      </c>
      <c r="AG728" s="34">
        <v>2021</v>
      </c>
      <c r="AH728" s="35">
        <v>2021</v>
      </c>
      <c r="AT728" s="20" t="e">
        <f t="shared" si="134"/>
        <v>#N/A</v>
      </c>
      <c r="BZ728" s="71"/>
      <c r="CD728" s="20" t="e">
        <f t="shared" si="137"/>
        <v>#N/A</v>
      </c>
    </row>
    <row r="729" spans="1:82" ht="61.5" x14ac:dyDescent="0.85">
      <c r="A729" s="20">
        <v>1</v>
      </c>
      <c r="B729" s="66">
        <f>SUBTOTAL(103,$A$554:A729)</f>
        <v>174</v>
      </c>
      <c r="C729" s="24" t="s">
        <v>428</v>
      </c>
      <c r="D729" s="31">
        <f t="shared" si="135"/>
        <v>4125000</v>
      </c>
      <c r="E729" s="31">
        <v>0</v>
      </c>
      <c r="F729" s="31">
        <v>0</v>
      </c>
      <c r="G729" s="31">
        <v>0</v>
      </c>
      <c r="H729" s="31">
        <v>0</v>
      </c>
      <c r="I729" s="31">
        <v>0</v>
      </c>
      <c r="J729" s="31">
        <v>0</v>
      </c>
      <c r="K729" s="33">
        <v>0</v>
      </c>
      <c r="L729" s="31">
        <v>0</v>
      </c>
      <c r="M729" s="31">
        <v>825</v>
      </c>
      <c r="N729" s="31">
        <v>3916256.16</v>
      </c>
      <c r="O729" s="31">
        <v>0</v>
      </c>
      <c r="P729" s="31">
        <v>0</v>
      </c>
      <c r="Q729" s="31">
        <v>0</v>
      </c>
      <c r="R729" s="31">
        <v>0</v>
      </c>
      <c r="S729" s="31">
        <v>0</v>
      </c>
      <c r="T729" s="31">
        <v>0</v>
      </c>
      <c r="U729" s="31">
        <v>0</v>
      </c>
      <c r="V729" s="31">
        <v>0</v>
      </c>
      <c r="W729" s="31">
        <v>0</v>
      </c>
      <c r="X729" s="31">
        <v>0</v>
      </c>
      <c r="Y729" s="31">
        <v>0</v>
      </c>
      <c r="Z729" s="31">
        <v>0</v>
      </c>
      <c r="AA729" s="31">
        <v>0</v>
      </c>
      <c r="AB729" s="31">
        <v>0</v>
      </c>
      <c r="AC729" s="31">
        <f t="shared" si="136"/>
        <v>58743.839999999997</v>
      </c>
      <c r="AD729" s="31">
        <v>150000</v>
      </c>
      <c r="AE729" s="31">
        <v>0</v>
      </c>
      <c r="AF729" s="34">
        <v>2021</v>
      </c>
      <c r="AG729" s="34">
        <v>2021</v>
      </c>
      <c r="AH729" s="35">
        <v>2021</v>
      </c>
      <c r="AT729" s="20" t="e">
        <f t="shared" si="134"/>
        <v>#N/A</v>
      </c>
      <c r="BZ729" s="71"/>
      <c r="CD729" s="20" t="e">
        <f t="shared" si="137"/>
        <v>#N/A</v>
      </c>
    </row>
    <row r="730" spans="1:82" ht="61.5" x14ac:dyDescent="0.85">
      <c r="A730" s="20">
        <v>1</v>
      </c>
      <c r="B730" s="66">
        <f>SUBTOTAL(103,$A$554:A730)</f>
        <v>175</v>
      </c>
      <c r="C730" s="24" t="s">
        <v>429</v>
      </c>
      <c r="D730" s="31">
        <f t="shared" si="135"/>
        <v>2000000</v>
      </c>
      <c r="E730" s="31">
        <v>0</v>
      </c>
      <c r="F730" s="31">
        <v>0</v>
      </c>
      <c r="G730" s="31">
        <v>0</v>
      </c>
      <c r="H730" s="31">
        <v>0</v>
      </c>
      <c r="I730" s="31">
        <v>0</v>
      </c>
      <c r="J730" s="31">
        <v>0</v>
      </c>
      <c r="K730" s="33">
        <v>0</v>
      </c>
      <c r="L730" s="31">
        <v>0</v>
      </c>
      <c r="M730" s="31">
        <v>365</v>
      </c>
      <c r="N730" s="31">
        <f>1852216.75-118226.6</f>
        <v>1733990.15</v>
      </c>
      <c r="O730" s="31">
        <v>0</v>
      </c>
      <c r="P730" s="31">
        <v>0</v>
      </c>
      <c r="Q730" s="31">
        <v>0</v>
      </c>
      <c r="R730" s="31">
        <v>0</v>
      </c>
      <c r="S730" s="31">
        <v>0</v>
      </c>
      <c r="T730" s="31">
        <v>0</v>
      </c>
      <c r="U730" s="31">
        <v>0</v>
      </c>
      <c r="V730" s="31">
        <v>0</v>
      </c>
      <c r="W730" s="31">
        <v>0</v>
      </c>
      <c r="X730" s="31">
        <v>0</v>
      </c>
      <c r="Y730" s="31">
        <v>0</v>
      </c>
      <c r="Z730" s="31">
        <v>0</v>
      </c>
      <c r="AA730" s="31">
        <v>0</v>
      </c>
      <c r="AB730" s="31">
        <v>0</v>
      </c>
      <c r="AC730" s="31">
        <f t="shared" si="136"/>
        <v>26009.85</v>
      </c>
      <c r="AD730" s="31">
        <v>120000</v>
      </c>
      <c r="AE730" s="31">
        <v>120000</v>
      </c>
      <c r="AF730" s="34">
        <v>2021</v>
      </c>
      <c r="AG730" s="34">
        <v>2021</v>
      </c>
      <c r="AH730" s="35">
        <v>2021</v>
      </c>
      <c r="AT730" s="20" t="e">
        <f t="shared" si="134"/>
        <v>#N/A</v>
      </c>
      <c r="BZ730" s="71"/>
      <c r="CD730" s="20" t="e">
        <f t="shared" si="137"/>
        <v>#N/A</v>
      </c>
    </row>
    <row r="731" spans="1:82" ht="61.5" x14ac:dyDescent="0.85">
      <c r="A731" s="20">
        <v>1</v>
      </c>
      <c r="B731" s="66">
        <f>SUBTOTAL(103,$A$554:A731)</f>
        <v>176</v>
      </c>
      <c r="C731" s="24" t="s">
        <v>430</v>
      </c>
      <c r="D731" s="31">
        <f t="shared" si="135"/>
        <v>4900000</v>
      </c>
      <c r="E731" s="31">
        <v>0</v>
      </c>
      <c r="F731" s="31">
        <v>0</v>
      </c>
      <c r="G731" s="31">
        <v>0</v>
      </c>
      <c r="H731" s="31">
        <v>0</v>
      </c>
      <c r="I731" s="31">
        <v>0</v>
      </c>
      <c r="J731" s="31">
        <v>0</v>
      </c>
      <c r="K731" s="33">
        <v>0</v>
      </c>
      <c r="L731" s="31">
        <v>0</v>
      </c>
      <c r="M731" s="31">
        <v>0</v>
      </c>
      <c r="N731" s="31">
        <v>0</v>
      </c>
      <c r="O731" s="31">
        <v>0</v>
      </c>
      <c r="P731" s="31">
        <v>0</v>
      </c>
      <c r="Q731" s="31">
        <v>947</v>
      </c>
      <c r="R731" s="31">
        <v>4699507.3899999997</v>
      </c>
      <c r="S731" s="31">
        <v>0</v>
      </c>
      <c r="T731" s="31">
        <v>0</v>
      </c>
      <c r="U731" s="31">
        <v>0</v>
      </c>
      <c r="V731" s="31">
        <v>0</v>
      </c>
      <c r="W731" s="31">
        <v>0</v>
      </c>
      <c r="X731" s="31">
        <v>0</v>
      </c>
      <c r="Y731" s="31">
        <v>0</v>
      </c>
      <c r="Z731" s="31">
        <v>0</v>
      </c>
      <c r="AA731" s="31">
        <v>0</v>
      </c>
      <c r="AB731" s="31">
        <v>0</v>
      </c>
      <c r="AC731" s="31">
        <f>ROUND(R731*1.5%,2)</f>
        <v>70492.61</v>
      </c>
      <c r="AD731" s="31">
        <v>130000</v>
      </c>
      <c r="AE731" s="31">
        <v>0</v>
      </c>
      <c r="AF731" s="34">
        <v>2021</v>
      </c>
      <c r="AG731" s="34">
        <v>2021</v>
      </c>
      <c r="AH731" s="35">
        <v>2021</v>
      </c>
      <c r="AT731" s="20" t="e">
        <f t="shared" si="134"/>
        <v>#N/A</v>
      </c>
      <c r="BZ731" s="71"/>
      <c r="CD731" s="20" t="e">
        <f t="shared" si="137"/>
        <v>#N/A</v>
      </c>
    </row>
    <row r="732" spans="1:82" ht="61.5" x14ac:dyDescent="0.85">
      <c r="A732" s="20">
        <v>1</v>
      </c>
      <c r="B732" s="66">
        <f>SUBTOTAL(103,$A$554:A732)</f>
        <v>177</v>
      </c>
      <c r="C732" s="24" t="s">
        <v>431</v>
      </c>
      <c r="D732" s="31">
        <f t="shared" si="135"/>
        <v>3000000</v>
      </c>
      <c r="E732" s="31">
        <v>0</v>
      </c>
      <c r="F732" s="31">
        <v>0</v>
      </c>
      <c r="G732" s="31">
        <v>0</v>
      </c>
      <c r="H732" s="31">
        <v>0</v>
      </c>
      <c r="I732" s="31">
        <v>0</v>
      </c>
      <c r="J732" s="31">
        <v>0</v>
      </c>
      <c r="K732" s="33">
        <v>0</v>
      </c>
      <c r="L732" s="31">
        <v>0</v>
      </c>
      <c r="M732" s="31">
        <v>600</v>
      </c>
      <c r="N732" s="31">
        <v>2807881.77</v>
      </c>
      <c r="O732" s="31">
        <v>0</v>
      </c>
      <c r="P732" s="31">
        <v>0</v>
      </c>
      <c r="Q732" s="31">
        <v>0</v>
      </c>
      <c r="R732" s="31">
        <v>0</v>
      </c>
      <c r="S732" s="31">
        <v>0</v>
      </c>
      <c r="T732" s="31">
        <v>0</v>
      </c>
      <c r="U732" s="31">
        <v>0</v>
      </c>
      <c r="V732" s="31">
        <v>0</v>
      </c>
      <c r="W732" s="31">
        <v>0</v>
      </c>
      <c r="X732" s="31">
        <v>0</v>
      </c>
      <c r="Y732" s="31">
        <v>0</v>
      </c>
      <c r="Z732" s="31">
        <v>0</v>
      </c>
      <c r="AA732" s="31">
        <v>0</v>
      </c>
      <c r="AB732" s="31">
        <v>0</v>
      </c>
      <c r="AC732" s="31">
        <f t="shared" ref="AC732:AC763" si="138">ROUND(N732*1.5%,2)</f>
        <v>42118.23</v>
      </c>
      <c r="AD732" s="31">
        <v>150000</v>
      </c>
      <c r="AE732" s="31">
        <v>0</v>
      </c>
      <c r="AF732" s="34">
        <v>2021</v>
      </c>
      <c r="AG732" s="34">
        <v>2021</v>
      </c>
      <c r="AH732" s="35">
        <v>2021</v>
      </c>
      <c r="AT732" s="20" t="e">
        <f t="shared" si="134"/>
        <v>#N/A</v>
      </c>
      <c r="BZ732" s="71"/>
      <c r="CD732" s="20" t="e">
        <f t="shared" si="137"/>
        <v>#N/A</v>
      </c>
    </row>
    <row r="733" spans="1:82" ht="61.5" x14ac:dyDescent="0.85">
      <c r="A733" s="20">
        <v>1</v>
      </c>
      <c r="B733" s="66">
        <f>SUBTOTAL(103,$A$554:A733)</f>
        <v>178</v>
      </c>
      <c r="C733" s="24" t="s">
        <v>432</v>
      </c>
      <c r="D733" s="31">
        <f t="shared" si="135"/>
        <v>2310000</v>
      </c>
      <c r="E733" s="31">
        <v>0</v>
      </c>
      <c r="F733" s="31">
        <v>0</v>
      </c>
      <c r="G733" s="31">
        <v>0</v>
      </c>
      <c r="H733" s="31">
        <v>0</v>
      </c>
      <c r="I733" s="31">
        <v>0</v>
      </c>
      <c r="J733" s="31">
        <v>0</v>
      </c>
      <c r="K733" s="33">
        <v>0</v>
      </c>
      <c r="L733" s="31">
        <v>0</v>
      </c>
      <c r="M733" s="31">
        <v>462</v>
      </c>
      <c r="N733" s="31">
        <v>2157635.4700000002</v>
      </c>
      <c r="O733" s="31">
        <v>0</v>
      </c>
      <c r="P733" s="31">
        <v>0</v>
      </c>
      <c r="Q733" s="31">
        <v>0</v>
      </c>
      <c r="R733" s="31">
        <v>0</v>
      </c>
      <c r="S733" s="31">
        <v>0</v>
      </c>
      <c r="T733" s="31">
        <v>0</v>
      </c>
      <c r="U733" s="31">
        <v>0</v>
      </c>
      <c r="V733" s="31">
        <v>0</v>
      </c>
      <c r="W733" s="31">
        <v>0</v>
      </c>
      <c r="X733" s="31">
        <v>0</v>
      </c>
      <c r="Y733" s="31">
        <v>0</v>
      </c>
      <c r="Z733" s="31">
        <v>0</v>
      </c>
      <c r="AA733" s="31">
        <v>0</v>
      </c>
      <c r="AB733" s="31">
        <v>0</v>
      </c>
      <c r="AC733" s="31">
        <f t="shared" si="138"/>
        <v>32364.53</v>
      </c>
      <c r="AD733" s="31">
        <v>120000</v>
      </c>
      <c r="AE733" s="31">
        <v>0</v>
      </c>
      <c r="AF733" s="34">
        <v>2021</v>
      </c>
      <c r="AG733" s="34">
        <v>2021</v>
      </c>
      <c r="AH733" s="35">
        <v>2021</v>
      </c>
      <c r="AT733" s="20" t="e">
        <f t="shared" si="134"/>
        <v>#N/A</v>
      </c>
      <c r="BZ733" s="71"/>
      <c r="CD733" s="20" t="e">
        <f t="shared" si="137"/>
        <v>#N/A</v>
      </c>
    </row>
    <row r="734" spans="1:82" ht="61.5" x14ac:dyDescent="0.85">
      <c r="A734" s="20">
        <v>1</v>
      </c>
      <c r="B734" s="66">
        <f>SUBTOTAL(103,$A$554:A734)</f>
        <v>179</v>
      </c>
      <c r="C734" s="24" t="s">
        <v>1675</v>
      </c>
      <c r="D734" s="31">
        <f t="shared" si="135"/>
        <v>5101600</v>
      </c>
      <c r="E734" s="31">
        <v>0</v>
      </c>
      <c r="F734" s="31">
        <v>0</v>
      </c>
      <c r="G734" s="31">
        <v>0</v>
      </c>
      <c r="H734" s="31">
        <v>0</v>
      </c>
      <c r="I734" s="31">
        <v>0</v>
      </c>
      <c r="J734" s="31">
        <v>0</v>
      </c>
      <c r="K734" s="33">
        <v>0</v>
      </c>
      <c r="L734" s="31">
        <v>0</v>
      </c>
      <c r="M734" s="31">
        <v>911</v>
      </c>
      <c r="N734" s="31">
        <v>4878423.6500000004</v>
      </c>
      <c r="O734" s="31">
        <v>0</v>
      </c>
      <c r="P734" s="31">
        <v>0</v>
      </c>
      <c r="Q734" s="31">
        <v>0</v>
      </c>
      <c r="R734" s="31">
        <v>0</v>
      </c>
      <c r="S734" s="31">
        <v>0</v>
      </c>
      <c r="T734" s="31">
        <v>0</v>
      </c>
      <c r="U734" s="31">
        <v>0</v>
      </c>
      <c r="V734" s="31">
        <v>0</v>
      </c>
      <c r="W734" s="31">
        <v>0</v>
      </c>
      <c r="X734" s="31">
        <v>0</v>
      </c>
      <c r="Y734" s="31">
        <v>0</v>
      </c>
      <c r="Z734" s="31">
        <v>0</v>
      </c>
      <c r="AA734" s="31">
        <v>0</v>
      </c>
      <c r="AB734" s="31">
        <v>0</v>
      </c>
      <c r="AC734" s="31">
        <f t="shared" si="138"/>
        <v>73176.350000000006</v>
      </c>
      <c r="AD734" s="31">
        <v>150000</v>
      </c>
      <c r="AE734" s="31">
        <v>0</v>
      </c>
      <c r="AF734" s="34">
        <v>2021</v>
      </c>
      <c r="AG734" s="34">
        <v>2021</v>
      </c>
      <c r="AH734" s="35">
        <v>2021</v>
      </c>
      <c r="BZ734" s="71"/>
      <c r="CD734" s="20" t="e">
        <f t="shared" si="137"/>
        <v>#N/A</v>
      </c>
    </row>
    <row r="735" spans="1:82" ht="61.5" x14ac:dyDescent="0.85">
      <c r="A735" s="20">
        <v>1</v>
      </c>
      <c r="B735" s="66">
        <f>SUBTOTAL(103,$A$554:A735)</f>
        <v>180</v>
      </c>
      <c r="C735" s="24" t="s">
        <v>1706</v>
      </c>
      <c r="D735" s="31">
        <f t="shared" si="135"/>
        <v>4068108.64</v>
      </c>
      <c r="E735" s="31">
        <v>0</v>
      </c>
      <c r="F735" s="31">
        <v>0</v>
      </c>
      <c r="G735" s="31">
        <v>0</v>
      </c>
      <c r="H735" s="31">
        <v>0</v>
      </c>
      <c r="I735" s="31">
        <v>0</v>
      </c>
      <c r="J735" s="31">
        <v>0</v>
      </c>
      <c r="K735" s="33">
        <v>0</v>
      </c>
      <c r="L735" s="31">
        <v>0</v>
      </c>
      <c r="M735" s="31">
        <v>846</v>
      </c>
      <c r="N735" s="31">
        <v>3860205.56</v>
      </c>
      <c r="O735" s="31">
        <v>0</v>
      </c>
      <c r="P735" s="31">
        <v>0</v>
      </c>
      <c r="Q735" s="31">
        <v>0</v>
      </c>
      <c r="R735" s="31">
        <v>0</v>
      </c>
      <c r="S735" s="31">
        <v>0</v>
      </c>
      <c r="T735" s="31">
        <v>0</v>
      </c>
      <c r="U735" s="31">
        <v>0</v>
      </c>
      <c r="V735" s="31">
        <v>0</v>
      </c>
      <c r="W735" s="31">
        <v>0</v>
      </c>
      <c r="X735" s="31">
        <v>0</v>
      </c>
      <c r="Y735" s="31">
        <v>0</v>
      </c>
      <c r="Z735" s="31">
        <v>0</v>
      </c>
      <c r="AA735" s="31">
        <v>0</v>
      </c>
      <c r="AB735" s="31">
        <v>0</v>
      </c>
      <c r="AC735" s="31">
        <f t="shared" si="138"/>
        <v>57903.08</v>
      </c>
      <c r="AD735" s="31">
        <v>150000</v>
      </c>
      <c r="AE735" s="31">
        <v>0</v>
      </c>
      <c r="AF735" s="34">
        <v>2021</v>
      </c>
      <c r="AG735" s="34">
        <v>2021</v>
      </c>
      <c r="AH735" s="35">
        <v>2021</v>
      </c>
      <c r="BZ735" s="71"/>
      <c r="CD735" s="20" t="e">
        <f t="shared" si="137"/>
        <v>#N/A</v>
      </c>
    </row>
    <row r="736" spans="1:82" ht="61.5" x14ac:dyDescent="0.85">
      <c r="A736" s="20">
        <v>1</v>
      </c>
      <c r="B736" s="66">
        <f>SUBTOTAL(103,$A$554:A736)</f>
        <v>181</v>
      </c>
      <c r="C736" s="24" t="s">
        <v>1707</v>
      </c>
      <c r="D736" s="31">
        <f t="shared" si="135"/>
        <v>2885184</v>
      </c>
      <c r="E736" s="31">
        <v>0</v>
      </c>
      <c r="F736" s="31">
        <v>0</v>
      </c>
      <c r="G736" s="31">
        <v>0</v>
      </c>
      <c r="H736" s="31">
        <v>0</v>
      </c>
      <c r="I736" s="31">
        <v>0</v>
      </c>
      <c r="J736" s="31">
        <v>0</v>
      </c>
      <c r="K736" s="33">
        <v>0</v>
      </c>
      <c r="L736" s="31">
        <v>0</v>
      </c>
      <c r="M736" s="31">
        <v>600</v>
      </c>
      <c r="N736" s="31">
        <v>2724319.21</v>
      </c>
      <c r="O736" s="31">
        <v>0</v>
      </c>
      <c r="P736" s="31">
        <v>0</v>
      </c>
      <c r="Q736" s="31">
        <v>0</v>
      </c>
      <c r="R736" s="31">
        <v>0</v>
      </c>
      <c r="S736" s="31">
        <v>0</v>
      </c>
      <c r="T736" s="31">
        <v>0</v>
      </c>
      <c r="U736" s="31">
        <v>0</v>
      </c>
      <c r="V736" s="31">
        <v>0</v>
      </c>
      <c r="W736" s="31">
        <v>0</v>
      </c>
      <c r="X736" s="31">
        <v>0</v>
      </c>
      <c r="Y736" s="31">
        <v>0</v>
      </c>
      <c r="Z736" s="31">
        <v>0</v>
      </c>
      <c r="AA736" s="31">
        <v>0</v>
      </c>
      <c r="AB736" s="31">
        <v>0</v>
      </c>
      <c r="AC736" s="31">
        <f t="shared" si="138"/>
        <v>40864.79</v>
      </c>
      <c r="AD736" s="31">
        <v>120000</v>
      </c>
      <c r="AE736" s="31">
        <v>0</v>
      </c>
      <c r="AF736" s="34">
        <v>2021</v>
      </c>
      <c r="AG736" s="34">
        <v>2021</v>
      </c>
      <c r="AH736" s="35">
        <v>2021</v>
      </c>
      <c r="BZ736" s="71"/>
      <c r="CD736" s="20" t="e">
        <f t="shared" si="137"/>
        <v>#N/A</v>
      </c>
    </row>
    <row r="737" spans="1:82" ht="61.5" x14ac:dyDescent="0.85">
      <c r="A737" s="20">
        <v>1</v>
      </c>
      <c r="B737" s="66">
        <f>SUBTOTAL(103,$A$554:A737)</f>
        <v>182</v>
      </c>
      <c r="C737" s="24" t="s">
        <v>433</v>
      </c>
      <c r="D737" s="31">
        <f t="shared" si="135"/>
        <v>150000</v>
      </c>
      <c r="E737" s="31">
        <v>0</v>
      </c>
      <c r="F737" s="31">
        <v>0</v>
      </c>
      <c r="G737" s="31">
        <v>0</v>
      </c>
      <c r="H737" s="31">
        <v>0</v>
      </c>
      <c r="I737" s="31">
        <v>0</v>
      </c>
      <c r="J737" s="31">
        <v>0</v>
      </c>
      <c r="K737" s="33">
        <v>0</v>
      </c>
      <c r="L737" s="31">
        <v>0</v>
      </c>
      <c r="M737" s="31">
        <v>0</v>
      </c>
      <c r="N737" s="31">
        <v>0</v>
      </c>
      <c r="O737" s="31">
        <v>0</v>
      </c>
      <c r="P737" s="31">
        <v>0</v>
      </c>
      <c r="Q737" s="31">
        <v>0</v>
      </c>
      <c r="R737" s="31">
        <v>0</v>
      </c>
      <c r="S737" s="31">
        <v>0</v>
      </c>
      <c r="T737" s="31">
        <v>0</v>
      </c>
      <c r="U737" s="31">
        <v>0</v>
      </c>
      <c r="V737" s="31">
        <v>0</v>
      </c>
      <c r="W737" s="31">
        <v>0</v>
      </c>
      <c r="X737" s="31">
        <v>0</v>
      </c>
      <c r="Y737" s="31">
        <v>0</v>
      </c>
      <c r="Z737" s="31">
        <v>0</v>
      </c>
      <c r="AA737" s="31">
        <v>0</v>
      </c>
      <c r="AB737" s="31">
        <v>0</v>
      </c>
      <c r="AC737" s="31">
        <f t="shared" si="138"/>
        <v>0</v>
      </c>
      <c r="AD737" s="31">
        <v>150000</v>
      </c>
      <c r="AE737" s="31">
        <v>0</v>
      </c>
      <c r="AF737" s="34">
        <v>2021</v>
      </c>
      <c r="AG737" s="34" t="s">
        <v>274</v>
      </c>
      <c r="AH737" s="35" t="s">
        <v>274</v>
      </c>
      <c r="BZ737" s="71"/>
      <c r="CD737" s="20" t="e">
        <f t="shared" si="137"/>
        <v>#N/A</v>
      </c>
    </row>
    <row r="738" spans="1:82" ht="61.5" x14ac:dyDescent="0.85">
      <c r="A738" s="20">
        <v>1</v>
      </c>
      <c r="B738" s="66">
        <f>SUBTOTAL(103,$A$554:A738)</f>
        <v>183</v>
      </c>
      <c r="C738" s="24" t="s">
        <v>434</v>
      </c>
      <c r="D738" s="31">
        <f t="shared" si="135"/>
        <v>150000</v>
      </c>
      <c r="E738" s="31">
        <v>0</v>
      </c>
      <c r="F738" s="31">
        <v>0</v>
      </c>
      <c r="G738" s="31">
        <v>0</v>
      </c>
      <c r="H738" s="31">
        <v>0</v>
      </c>
      <c r="I738" s="31">
        <v>0</v>
      </c>
      <c r="J738" s="31">
        <v>0</v>
      </c>
      <c r="K738" s="33">
        <v>0</v>
      </c>
      <c r="L738" s="31">
        <v>0</v>
      </c>
      <c r="M738" s="31">
        <v>0</v>
      </c>
      <c r="N738" s="31">
        <v>0</v>
      </c>
      <c r="O738" s="31">
        <v>0</v>
      </c>
      <c r="P738" s="31">
        <v>0</v>
      </c>
      <c r="Q738" s="31">
        <v>0</v>
      </c>
      <c r="R738" s="31">
        <v>0</v>
      </c>
      <c r="S738" s="31">
        <v>0</v>
      </c>
      <c r="T738" s="31">
        <v>0</v>
      </c>
      <c r="U738" s="31">
        <v>0</v>
      </c>
      <c r="V738" s="31">
        <v>0</v>
      </c>
      <c r="W738" s="31">
        <v>0</v>
      </c>
      <c r="X738" s="31">
        <v>0</v>
      </c>
      <c r="Y738" s="31">
        <v>0</v>
      </c>
      <c r="Z738" s="31">
        <v>0</v>
      </c>
      <c r="AA738" s="31">
        <v>0</v>
      </c>
      <c r="AB738" s="31">
        <v>0</v>
      </c>
      <c r="AC738" s="31">
        <f t="shared" si="138"/>
        <v>0</v>
      </c>
      <c r="AD738" s="31">
        <v>150000</v>
      </c>
      <c r="AE738" s="31">
        <v>0</v>
      </c>
      <c r="AF738" s="34">
        <v>2021</v>
      </c>
      <c r="AG738" s="34" t="s">
        <v>274</v>
      </c>
      <c r="AH738" s="35" t="s">
        <v>274</v>
      </c>
      <c r="BZ738" s="71"/>
      <c r="CD738" s="20" t="e">
        <f t="shared" si="137"/>
        <v>#N/A</v>
      </c>
    </row>
    <row r="739" spans="1:82" ht="61.5" x14ac:dyDescent="0.85">
      <c r="A739" s="20">
        <v>1</v>
      </c>
      <c r="B739" s="66">
        <f>SUBTOTAL(103,$A$554:A739)</f>
        <v>184</v>
      </c>
      <c r="C739" s="24" t="s">
        <v>435</v>
      </c>
      <c r="D739" s="31">
        <f t="shared" si="135"/>
        <v>180000</v>
      </c>
      <c r="E739" s="31">
        <v>0</v>
      </c>
      <c r="F739" s="31">
        <v>0</v>
      </c>
      <c r="G739" s="31">
        <v>0</v>
      </c>
      <c r="H739" s="31">
        <v>0</v>
      </c>
      <c r="I739" s="31">
        <v>0</v>
      </c>
      <c r="J739" s="31">
        <v>0</v>
      </c>
      <c r="K739" s="33">
        <v>0</v>
      </c>
      <c r="L739" s="31">
        <v>0</v>
      </c>
      <c r="M739" s="31">
        <v>0</v>
      </c>
      <c r="N739" s="31">
        <v>0</v>
      </c>
      <c r="O739" s="31">
        <v>0</v>
      </c>
      <c r="P739" s="31">
        <v>0</v>
      </c>
      <c r="Q739" s="31">
        <v>0</v>
      </c>
      <c r="R739" s="31">
        <v>0</v>
      </c>
      <c r="S739" s="31">
        <v>0</v>
      </c>
      <c r="T739" s="31">
        <v>0</v>
      </c>
      <c r="U739" s="31">
        <v>0</v>
      </c>
      <c r="V739" s="31">
        <v>0</v>
      </c>
      <c r="W739" s="31">
        <v>0</v>
      </c>
      <c r="X739" s="31">
        <v>0</v>
      </c>
      <c r="Y739" s="31">
        <v>0</v>
      </c>
      <c r="Z739" s="31">
        <v>0</v>
      </c>
      <c r="AA739" s="31">
        <v>0</v>
      </c>
      <c r="AB739" s="31">
        <v>0</v>
      </c>
      <c r="AC739" s="31">
        <f t="shared" si="138"/>
        <v>0</v>
      </c>
      <c r="AD739" s="31">
        <v>180000</v>
      </c>
      <c r="AE739" s="31">
        <v>0</v>
      </c>
      <c r="AF739" s="34">
        <v>2021</v>
      </c>
      <c r="AG739" s="34" t="s">
        <v>274</v>
      </c>
      <c r="AH739" s="35" t="s">
        <v>274</v>
      </c>
      <c r="BZ739" s="71"/>
      <c r="CD739" s="20" t="e">
        <f t="shared" si="137"/>
        <v>#N/A</v>
      </c>
    </row>
    <row r="740" spans="1:82" ht="61.5" x14ac:dyDescent="0.85">
      <c r="A740" s="20">
        <v>1</v>
      </c>
      <c r="B740" s="66">
        <f>SUBTOTAL(103,$A$554:A740)</f>
        <v>185</v>
      </c>
      <c r="C740" s="24" t="s">
        <v>436</v>
      </c>
      <c r="D740" s="31">
        <f t="shared" si="135"/>
        <v>200000</v>
      </c>
      <c r="E740" s="31">
        <v>0</v>
      </c>
      <c r="F740" s="31">
        <v>0</v>
      </c>
      <c r="G740" s="31">
        <v>0</v>
      </c>
      <c r="H740" s="31">
        <v>0</v>
      </c>
      <c r="I740" s="31">
        <v>0</v>
      </c>
      <c r="J740" s="31">
        <v>0</v>
      </c>
      <c r="K740" s="33">
        <v>0</v>
      </c>
      <c r="L740" s="31">
        <v>0</v>
      </c>
      <c r="M740" s="31">
        <v>0</v>
      </c>
      <c r="N740" s="31">
        <v>0</v>
      </c>
      <c r="O740" s="31">
        <v>0</v>
      </c>
      <c r="P740" s="31">
        <v>0</v>
      </c>
      <c r="Q740" s="31">
        <v>0</v>
      </c>
      <c r="R740" s="31">
        <v>0</v>
      </c>
      <c r="S740" s="31">
        <v>0</v>
      </c>
      <c r="T740" s="31">
        <v>0</v>
      </c>
      <c r="U740" s="31">
        <v>0</v>
      </c>
      <c r="V740" s="31">
        <v>0</v>
      </c>
      <c r="W740" s="31">
        <v>0</v>
      </c>
      <c r="X740" s="31">
        <v>0</v>
      </c>
      <c r="Y740" s="31">
        <v>0</v>
      </c>
      <c r="Z740" s="31">
        <v>0</v>
      </c>
      <c r="AA740" s="31">
        <v>0</v>
      </c>
      <c r="AB740" s="31">
        <v>0</v>
      </c>
      <c r="AC740" s="31">
        <f t="shared" si="138"/>
        <v>0</v>
      </c>
      <c r="AD740" s="31">
        <v>200000</v>
      </c>
      <c r="AE740" s="31">
        <v>0</v>
      </c>
      <c r="AF740" s="34">
        <v>2021</v>
      </c>
      <c r="AG740" s="34" t="s">
        <v>274</v>
      </c>
      <c r="AH740" s="35" t="s">
        <v>274</v>
      </c>
      <c r="BZ740" s="71"/>
      <c r="CD740" s="20" t="e">
        <f t="shared" si="137"/>
        <v>#N/A</v>
      </c>
    </row>
    <row r="741" spans="1:82" ht="61.5" x14ac:dyDescent="0.85">
      <c r="A741" s="20">
        <v>1</v>
      </c>
      <c r="B741" s="66">
        <f>SUBTOTAL(103,$A$554:A741)</f>
        <v>186</v>
      </c>
      <c r="C741" s="24" t="s">
        <v>437</v>
      </c>
      <c r="D741" s="31">
        <f t="shared" si="135"/>
        <v>150000</v>
      </c>
      <c r="E741" s="31">
        <v>0</v>
      </c>
      <c r="F741" s="31">
        <v>0</v>
      </c>
      <c r="G741" s="31">
        <v>0</v>
      </c>
      <c r="H741" s="31">
        <v>0</v>
      </c>
      <c r="I741" s="31">
        <v>0</v>
      </c>
      <c r="J741" s="31">
        <v>0</v>
      </c>
      <c r="K741" s="33">
        <v>0</v>
      </c>
      <c r="L741" s="31">
        <v>0</v>
      </c>
      <c r="M741" s="31">
        <v>0</v>
      </c>
      <c r="N741" s="31">
        <v>0</v>
      </c>
      <c r="O741" s="31">
        <v>0</v>
      </c>
      <c r="P741" s="31">
        <v>0</v>
      </c>
      <c r="Q741" s="31">
        <v>0</v>
      </c>
      <c r="R741" s="31">
        <v>0</v>
      </c>
      <c r="S741" s="31">
        <v>0</v>
      </c>
      <c r="T741" s="31">
        <v>0</v>
      </c>
      <c r="U741" s="31">
        <v>0</v>
      </c>
      <c r="V741" s="31">
        <v>0</v>
      </c>
      <c r="W741" s="31">
        <v>0</v>
      </c>
      <c r="X741" s="31">
        <v>0</v>
      </c>
      <c r="Y741" s="31">
        <v>0</v>
      </c>
      <c r="Z741" s="31">
        <v>0</v>
      </c>
      <c r="AA741" s="31">
        <v>0</v>
      </c>
      <c r="AB741" s="31">
        <v>0</v>
      </c>
      <c r="AC741" s="31">
        <f t="shared" si="138"/>
        <v>0</v>
      </c>
      <c r="AD741" s="31">
        <v>150000</v>
      </c>
      <c r="AE741" s="31">
        <v>0</v>
      </c>
      <c r="AF741" s="34">
        <v>2021</v>
      </c>
      <c r="AG741" s="34" t="s">
        <v>274</v>
      </c>
      <c r="AH741" s="35" t="s">
        <v>274</v>
      </c>
      <c r="BZ741" s="71"/>
      <c r="CD741" s="20" t="e">
        <f t="shared" si="137"/>
        <v>#N/A</v>
      </c>
    </row>
    <row r="742" spans="1:82" ht="61.5" x14ac:dyDescent="0.85">
      <c r="A742" s="20">
        <v>1</v>
      </c>
      <c r="B742" s="66">
        <f>SUBTOTAL(103,$A$554:A742)</f>
        <v>187</v>
      </c>
      <c r="C742" s="24" t="s">
        <v>438</v>
      </c>
      <c r="D742" s="31">
        <f t="shared" si="135"/>
        <v>180000</v>
      </c>
      <c r="E742" s="31">
        <v>0</v>
      </c>
      <c r="F742" s="31">
        <v>0</v>
      </c>
      <c r="G742" s="31">
        <v>0</v>
      </c>
      <c r="H742" s="31">
        <v>0</v>
      </c>
      <c r="I742" s="31">
        <v>0</v>
      </c>
      <c r="J742" s="31">
        <v>0</v>
      </c>
      <c r="K742" s="33">
        <v>0</v>
      </c>
      <c r="L742" s="31">
        <v>0</v>
      </c>
      <c r="M742" s="31">
        <v>0</v>
      </c>
      <c r="N742" s="31">
        <v>0</v>
      </c>
      <c r="O742" s="31">
        <v>0</v>
      </c>
      <c r="P742" s="31">
        <v>0</v>
      </c>
      <c r="Q742" s="31">
        <v>0</v>
      </c>
      <c r="R742" s="31">
        <v>0</v>
      </c>
      <c r="S742" s="31">
        <v>0</v>
      </c>
      <c r="T742" s="31">
        <v>0</v>
      </c>
      <c r="U742" s="31">
        <v>0</v>
      </c>
      <c r="V742" s="31">
        <v>0</v>
      </c>
      <c r="W742" s="31">
        <v>0</v>
      </c>
      <c r="X742" s="31">
        <v>0</v>
      </c>
      <c r="Y742" s="31">
        <v>0</v>
      </c>
      <c r="Z742" s="31">
        <v>0</v>
      </c>
      <c r="AA742" s="31">
        <v>0</v>
      </c>
      <c r="AB742" s="31">
        <v>0</v>
      </c>
      <c r="AC742" s="31">
        <f t="shared" si="138"/>
        <v>0</v>
      </c>
      <c r="AD742" s="31">
        <v>180000</v>
      </c>
      <c r="AE742" s="31">
        <v>0</v>
      </c>
      <c r="AF742" s="34">
        <v>2021</v>
      </c>
      <c r="AG742" s="34" t="s">
        <v>274</v>
      </c>
      <c r="AH742" s="35" t="s">
        <v>274</v>
      </c>
      <c r="BZ742" s="71"/>
      <c r="CD742" s="20" t="e">
        <f t="shared" si="137"/>
        <v>#N/A</v>
      </c>
    </row>
    <row r="743" spans="1:82" ht="61.5" x14ac:dyDescent="0.85">
      <c r="A743" s="20">
        <v>1</v>
      </c>
      <c r="B743" s="66">
        <f>SUBTOTAL(103,$A$554:A743)</f>
        <v>188</v>
      </c>
      <c r="C743" s="24" t="s">
        <v>439</v>
      </c>
      <c r="D743" s="31">
        <f t="shared" si="135"/>
        <v>150000</v>
      </c>
      <c r="E743" s="31">
        <v>0</v>
      </c>
      <c r="F743" s="31">
        <v>0</v>
      </c>
      <c r="G743" s="31">
        <v>0</v>
      </c>
      <c r="H743" s="31">
        <v>0</v>
      </c>
      <c r="I743" s="31">
        <v>0</v>
      </c>
      <c r="J743" s="31">
        <v>0</v>
      </c>
      <c r="K743" s="33">
        <v>0</v>
      </c>
      <c r="L743" s="31">
        <v>0</v>
      </c>
      <c r="M743" s="31">
        <v>0</v>
      </c>
      <c r="N743" s="31">
        <v>0</v>
      </c>
      <c r="O743" s="31">
        <v>0</v>
      </c>
      <c r="P743" s="31">
        <v>0</v>
      </c>
      <c r="Q743" s="31">
        <v>0</v>
      </c>
      <c r="R743" s="31">
        <v>0</v>
      </c>
      <c r="S743" s="31">
        <v>0</v>
      </c>
      <c r="T743" s="31">
        <v>0</v>
      </c>
      <c r="U743" s="31">
        <v>0</v>
      </c>
      <c r="V743" s="31">
        <v>0</v>
      </c>
      <c r="W743" s="31">
        <v>0</v>
      </c>
      <c r="X743" s="31">
        <v>0</v>
      </c>
      <c r="Y743" s="31">
        <v>0</v>
      </c>
      <c r="Z743" s="31">
        <v>0</v>
      </c>
      <c r="AA743" s="31">
        <v>0</v>
      </c>
      <c r="AB743" s="31">
        <v>0</v>
      </c>
      <c r="AC743" s="31">
        <f t="shared" si="138"/>
        <v>0</v>
      </c>
      <c r="AD743" s="31">
        <v>150000</v>
      </c>
      <c r="AE743" s="31">
        <v>0</v>
      </c>
      <c r="AF743" s="34">
        <v>2021</v>
      </c>
      <c r="AG743" s="34" t="s">
        <v>274</v>
      </c>
      <c r="AH743" s="35" t="s">
        <v>274</v>
      </c>
      <c r="BZ743" s="71"/>
      <c r="CD743" s="20" t="e">
        <f t="shared" si="137"/>
        <v>#N/A</v>
      </c>
    </row>
    <row r="744" spans="1:82" ht="61.5" x14ac:dyDescent="0.85">
      <c r="A744" s="20">
        <v>1</v>
      </c>
      <c r="B744" s="66">
        <f>SUBTOTAL(103,$A$554:A744)</f>
        <v>189</v>
      </c>
      <c r="C744" s="24" t="s">
        <v>440</v>
      </c>
      <c r="D744" s="31">
        <f t="shared" si="135"/>
        <v>120000</v>
      </c>
      <c r="E744" s="31">
        <v>0</v>
      </c>
      <c r="F744" s="31">
        <v>0</v>
      </c>
      <c r="G744" s="31">
        <v>0</v>
      </c>
      <c r="H744" s="31">
        <v>0</v>
      </c>
      <c r="I744" s="31">
        <v>0</v>
      </c>
      <c r="J744" s="31">
        <v>0</v>
      </c>
      <c r="K744" s="33">
        <v>0</v>
      </c>
      <c r="L744" s="31">
        <v>0</v>
      </c>
      <c r="M744" s="31">
        <v>0</v>
      </c>
      <c r="N744" s="31">
        <v>0</v>
      </c>
      <c r="O744" s="31">
        <v>0</v>
      </c>
      <c r="P744" s="31">
        <v>0</v>
      </c>
      <c r="Q744" s="31">
        <v>0</v>
      </c>
      <c r="R744" s="31">
        <v>0</v>
      </c>
      <c r="S744" s="31">
        <v>0</v>
      </c>
      <c r="T744" s="31">
        <v>0</v>
      </c>
      <c r="U744" s="31">
        <v>0</v>
      </c>
      <c r="V744" s="31">
        <v>0</v>
      </c>
      <c r="W744" s="31">
        <v>0</v>
      </c>
      <c r="X744" s="31">
        <v>0</v>
      </c>
      <c r="Y744" s="31">
        <v>0</v>
      </c>
      <c r="Z744" s="31">
        <v>0</v>
      </c>
      <c r="AA744" s="31">
        <v>0</v>
      </c>
      <c r="AB744" s="31">
        <v>0</v>
      </c>
      <c r="AC744" s="31">
        <f t="shared" si="138"/>
        <v>0</v>
      </c>
      <c r="AD744" s="31">
        <v>120000</v>
      </c>
      <c r="AE744" s="31">
        <v>0</v>
      </c>
      <c r="AF744" s="34">
        <v>2021</v>
      </c>
      <c r="AG744" s="34" t="s">
        <v>274</v>
      </c>
      <c r="AH744" s="35" t="s">
        <v>274</v>
      </c>
      <c r="BZ744" s="71"/>
      <c r="CD744" s="20" t="e">
        <f t="shared" si="137"/>
        <v>#N/A</v>
      </c>
    </row>
    <row r="745" spans="1:82" ht="61.5" x14ac:dyDescent="0.85">
      <c r="A745" s="20">
        <v>1</v>
      </c>
      <c r="B745" s="66">
        <f>SUBTOTAL(103,$A$554:A745)</f>
        <v>190</v>
      </c>
      <c r="C745" s="24" t="s">
        <v>209</v>
      </c>
      <c r="D745" s="31">
        <f t="shared" si="135"/>
        <v>150000</v>
      </c>
      <c r="E745" s="31">
        <v>0</v>
      </c>
      <c r="F745" s="31">
        <v>0</v>
      </c>
      <c r="G745" s="31">
        <v>0</v>
      </c>
      <c r="H745" s="31">
        <v>0</v>
      </c>
      <c r="I745" s="31">
        <v>0</v>
      </c>
      <c r="J745" s="31">
        <v>0</v>
      </c>
      <c r="K745" s="33">
        <v>0</v>
      </c>
      <c r="L745" s="31">
        <v>0</v>
      </c>
      <c r="M745" s="31">
        <v>0</v>
      </c>
      <c r="N745" s="31">
        <v>0</v>
      </c>
      <c r="O745" s="31">
        <v>0</v>
      </c>
      <c r="P745" s="31">
        <v>0</v>
      </c>
      <c r="Q745" s="31">
        <v>0</v>
      </c>
      <c r="R745" s="31">
        <v>0</v>
      </c>
      <c r="S745" s="31">
        <v>0</v>
      </c>
      <c r="T745" s="31">
        <v>0</v>
      </c>
      <c r="U745" s="31">
        <v>0</v>
      </c>
      <c r="V745" s="31">
        <v>0</v>
      </c>
      <c r="W745" s="31">
        <v>0</v>
      </c>
      <c r="X745" s="31">
        <v>0</v>
      </c>
      <c r="Y745" s="31">
        <v>0</v>
      </c>
      <c r="Z745" s="31">
        <v>0</v>
      </c>
      <c r="AA745" s="31">
        <v>0</v>
      </c>
      <c r="AB745" s="31">
        <v>0</v>
      </c>
      <c r="AC745" s="31">
        <f t="shared" si="138"/>
        <v>0</v>
      </c>
      <c r="AD745" s="31">
        <v>150000</v>
      </c>
      <c r="AE745" s="31">
        <v>0</v>
      </c>
      <c r="AF745" s="34">
        <v>2021</v>
      </c>
      <c r="AG745" s="34" t="s">
        <v>274</v>
      </c>
      <c r="AH745" s="35" t="s">
        <v>274</v>
      </c>
      <c r="BZ745" s="71"/>
      <c r="CD745" s="20" t="e">
        <f t="shared" si="137"/>
        <v>#N/A</v>
      </c>
    </row>
    <row r="746" spans="1:82" ht="61.5" x14ac:dyDescent="0.85">
      <c r="A746" s="20">
        <v>1</v>
      </c>
      <c r="B746" s="66">
        <f>SUBTOTAL(103,$A$554:A746)</f>
        <v>191</v>
      </c>
      <c r="C746" s="24" t="s">
        <v>210</v>
      </c>
      <c r="D746" s="31">
        <f t="shared" si="135"/>
        <v>70000</v>
      </c>
      <c r="E746" s="31">
        <v>0</v>
      </c>
      <c r="F746" s="31">
        <v>0</v>
      </c>
      <c r="G746" s="31">
        <v>0</v>
      </c>
      <c r="H746" s="31">
        <v>0</v>
      </c>
      <c r="I746" s="31">
        <v>0</v>
      </c>
      <c r="J746" s="31">
        <v>0</v>
      </c>
      <c r="K746" s="33">
        <v>0</v>
      </c>
      <c r="L746" s="31">
        <v>0</v>
      </c>
      <c r="M746" s="31">
        <v>0</v>
      </c>
      <c r="N746" s="31">
        <v>0</v>
      </c>
      <c r="O746" s="31">
        <v>0</v>
      </c>
      <c r="P746" s="31">
        <v>0</v>
      </c>
      <c r="Q746" s="31">
        <v>0</v>
      </c>
      <c r="R746" s="31">
        <v>0</v>
      </c>
      <c r="S746" s="31">
        <v>0</v>
      </c>
      <c r="T746" s="31">
        <v>0</v>
      </c>
      <c r="U746" s="31">
        <v>0</v>
      </c>
      <c r="V746" s="31">
        <v>0</v>
      </c>
      <c r="W746" s="31">
        <v>0</v>
      </c>
      <c r="X746" s="31">
        <v>0</v>
      </c>
      <c r="Y746" s="31">
        <v>0</v>
      </c>
      <c r="Z746" s="31">
        <v>0</v>
      </c>
      <c r="AA746" s="31">
        <v>0</v>
      </c>
      <c r="AB746" s="31">
        <v>0</v>
      </c>
      <c r="AC746" s="31">
        <f t="shared" si="138"/>
        <v>0</v>
      </c>
      <c r="AD746" s="31">
        <v>70000</v>
      </c>
      <c r="AE746" s="31">
        <v>0</v>
      </c>
      <c r="AF746" s="34">
        <v>2021</v>
      </c>
      <c r="AG746" s="34" t="s">
        <v>274</v>
      </c>
      <c r="AH746" s="35" t="s">
        <v>274</v>
      </c>
      <c r="BZ746" s="71"/>
      <c r="CD746" s="20" t="e">
        <f t="shared" si="137"/>
        <v>#N/A</v>
      </c>
    </row>
    <row r="747" spans="1:82" ht="61.5" x14ac:dyDescent="0.85">
      <c r="A747" s="20">
        <v>1</v>
      </c>
      <c r="B747" s="66">
        <f>SUBTOTAL(103,$A$554:A747)</f>
        <v>192</v>
      </c>
      <c r="C747" s="24" t="s">
        <v>211</v>
      </c>
      <c r="D747" s="31">
        <f t="shared" si="135"/>
        <v>70000</v>
      </c>
      <c r="E747" s="31">
        <v>0</v>
      </c>
      <c r="F747" s="31">
        <v>0</v>
      </c>
      <c r="G747" s="31">
        <v>0</v>
      </c>
      <c r="H747" s="31">
        <v>0</v>
      </c>
      <c r="I747" s="31">
        <v>0</v>
      </c>
      <c r="J747" s="31">
        <v>0</v>
      </c>
      <c r="K747" s="33">
        <v>0</v>
      </c>
      <c r="L747" s="31">
        <v>0</v>
      </c>
      <c r="M747" s="31">
        <v>0</v>
      </c>
      <c r="N747" s="31">
        <v>0</v>
      </c>
      <c r="O747" s="31">
        <v>0</v>
      </c>
      <c r="P747" s="31">
        <v>0</v>
      </c>
      <c r="Q747" s="31">
        <v>0</v>
      </c>
      <c r="R747" s="31">
        <v>0</v>
      </c>
      <c r="S747" s="31">
        <v>0</v>
      </c>
      <c r="T747" s="31">
        <v>0</v>
      </c>
      <c r="U747" s="31">
        <v>0</v>
      </c>
      <c r="V747" s="31">
        <v>0</v>
      </c>
      <c r="W747" s="31">
        <v>0</v>
      </c>
      <c r="X747" s="31">
        <v>0</v>
      </c>
      <c r="Y747" s="31">
        <v>0</v>
      </c>
      <c r="Z747" s="31">
        <v>0</v>
      </c>
      <c r="AA747" s="31">
        <v>0</v>
      </c>
      <c r="AB747" s="31">
        <v>0</v>
      </c>
      <c r="AC747" s="31">
        <f t="shared" si="138"/>
        <v>0</v>
      </c>
      <c r="AD747" s="31">
        <v>70000</v>
      </c>
      <c r="AE747" s="31">
        <v>0</v>
      </c>
      <c r="AF747" s="34">
        <v>2021</v>
      </c>
      <c r="AG747" s="34" t="s">
        <v>274</v>
      </c>
      <c r="AH747" s="35" t="s">
        <v>274</v>
      </c>
      <c r="BZ747" s="71"/>
      <c r="CD747" s="20" t="e">
        <f t="shared" si="137"/>
        <v>#N/A</v>
      </c>
    </row>
    <row r="748" spans="1:82" ht="61.5" x14ac:dyDescent="0.85">
      <c r="A748" s="20">
        <v>1</v>
      </c>
      <c r="B748" s="66">
        <f>SUBTOTAL(103,$A$554:A748)</f>
        <v>193</v>
      </c>
      <c r="C748" s="24" t="s">
        <v>212</v>
      </c>
      <c r="D748" s="31">
        <f t="shared" si="135"/>
        <v>70000</v>
      </c>
      <c r="E748" s="31">
        <v>0</v>
      </c>
      <c r="F748" s="31">
        <v>0</v>
      </c>
      <c r="G748" s="31">
        <v>0</v>
      </c>
      <c r="H748" s="31">
        <v>0</v>
      </c>
      <c r="I748" s="31">
        <v>0</v>
      </c>
      <c r="J748" s="31">
        <v>0</v>
      </c>
      <c r="K748" s="33">
        <v>0</v>
      </c>
      <c r="L748" s="31">
        <v>0</v>
      </c>
      <c r="M748" s="31">
        <v>0</v>
      </c>
      <c r="N748" s="31">
        <v>0</v>
      </c>
      <c r="O748" s="31">
        <v>0</v>
      </c>
      <c r="P748" s="31">
        <v>0</v>
      </c>
      <c r="Q748" s="31">
        <v>0</v>
      </c>
      <c r="R748" s="31">
        <v>0</v>
      </c>
      <c r="S748" s="31">
        <v>0</v>
      </c>
      <c r="T748" s="31">
        <v>0</v>
      </c>
      <c r="U748" s="31">
        <v>0</v>
      </c>
      <c r="V748" s="31">
        <v>0</v>
      </c>
      <c r="W748" s="31">
        <v>0</v>
      </c>
      <c r="X748" s="31">
        <v>0</v>
      </c>
      <c r="Y748" s="31">
        <v>0</v>
      </c>
      <c r="Z748" s="31">
        <v>0</v>
      </c>
      <c r="AA748" s="31">
        <v>0</v>
      </c>
      <c r="AB748" s="31">
        <v>0</v>
      </c>
      <c r="AC748" s="31">
        <f t="shared" si="138"/>
        <v>0</v>
      </c>
      <c r="AD748" s="31">
        <v>70000</v>
      </c>
      <c r="AE748" s="31">
        <v>0</v>
      </c>
      <c r="AF748" s="34">
        <v>2021</v>
      </c>
      <c r="AG748" s="34" t="s">
        <v>274</v>
      </c>
      <c r="AH748" s="35" t="s">
        <v>274</v>
      </c>
      <c r="BZ748" s="71"/>
      <c r="CD748" s="20" t="e">
        <f t="shared" si="137"/>
        <v>#N/A</v>
      </c>
    </row>
    <row r="749" spans="1:82" ht="61.5" x14ac:dyDescent="0.85">
      <c r="A749" s="20">
        <v>1</v>
      </c>
      <c r="B749" s="66">
        <f>SUBTOTAL(103,$A$554:A749)</f>
        <v>194</v>
      </c>
      <c r="C749" s="24" t="s">
        <v>441</v>
      </c>
      <c r="D749" s="31">
        <f t="shared" si="135"/>
        <v>180000</v>
      </c>
      <c r="E749" s="31">
        <v>0</v>
      </c>
      <c r="F749" s="31">
        <v>0</v>
      </c>
      <c r="G749" s="31">
        <v>0</v>
      </c>
      <c r="H749" s="31">
        <v>0</v>
      </c>
      <c r="I749" s="31">
        <v>0</v>
      </c>
      <c r="J749" s="31">
        <v>0</v>
      </c>
      <c r="K749" s="33">
        <v>0</v>
      </c>
      <c r="L749" s="31">
        <v>0</v>
      </c>
      <c r="M749" s="31">
        <v>0</v>
      </c>
      <c r="N749" s="31">
        <v>0</v>
      </c>
      <c r="O749" s="31">
        <v>0</v>
      </c>
      <c r="P749" s="31">
        <v>0</v>
      </c>
      <c r="Q749" s="31">
        <v>0</v>
      </c>
      <c r="R749" s="31">
        <v>0</v>
      </c>
      <c r="S749" s="31">
        <v>0</v>
      </c>
      <c r="T749" s="31">
        <v>0</v>
      </c>
      <c r="U749" s="31">
        <v>0</v>
      </c>
      <c r="V749" s="31">
        <v>0</v>
      </c>
      <c r="W749" s="31">
        <v>0</v>
      </c>
      <c r="X749" s="31">
        <v>0</v>
      </c>
      <c r="Y749" s="31">
        <v>0</v>
      </c>
      <c r="Z749" s="31">
        <v>0</v>
      </c>
      <c r="AA749" s="31">
        <v>0</v>
      </c>
      <c r="AB749" s="31">
        <v>0</v>
      </c>
      <c r="AC749" s="31">
        <f t="shared" si="138"/>
        <v>0</v>
      </c>
      <c r="AD749" s="31">
        <v>180000</v>
      </c>
      <c r="AE749" s="31">
        <v>0</v>
      </c>
      <c r="AF749" s="34">
        <v>2021</v>
      </c>
      <c r="AG749" s="34" t="s">
        <v>274</v>
      </c>
      <c r="AH749" s="35" t="s">
        <v>274</v>
      </c>
      <c r="BZ749" s="71"/>
      <c r="CD749" s="20" t="e">
        <f t="shared" si="137"/>
        <v>#N/A</v>
      </c>
    </row>
    <row r="750" spans="1:82" ht="61.5" x14ac:dyDescent="0.85">
      <c r="A750" s="20">
        <v>1</v>
      </c>
      <c r="B750" s="66">
        <f>SUBTOTAL(103,$A$554:A750)</f>
        <v>195</v>
      </c>
      <c r="C750" s="24" t="s">
        <v>442</v>
      </c>
      <c r="D750" s="31">
        <f t="shared" si="135"/>
        <v>100000</v>
      </c>
      <c r="E750" s="31">
        <v>0</v>
      </c>
      <c r="F750" s="31">
        <v>0</v>
      </c>
      <c r="G750" s="31">
        <v>0</v>
      </c>
      <c r="H750" s="31">
        <v>0</v>
      </c>
      <c r="I750" s="31">
        <v>0</v>
      </c>
      <c r="J750" s="31">
        <v>0</v>
      </c>
      <c r="K750" s="33">
        <v>0</v>
      </c>
      <c r="L750" s="31">
        <v>0</v>
      </c>
      <c r="M750" s="31">
        <v>0</v>
      </c>
      <c r="N750" s="31">
        <v>0</v>
      </c>
      <c r="O750" s="31">
        <v>0</v>
      </c>
      <c r="P750" s="31">
        <v>0</v>
      </c>
      <c r="Q750" s="31">
        <v>0</v>
      </c>
      <c r="R750" s="31">
        <v>0</v>
      </c>
      <c r="S750" s="31">
        <v>0</v>
      </c>
      <c r="T750" s="31">
        <v>0</v>
      </c>
      <c r="U750" s="31">
        <v>0</v>
      </c>
      <c r="V750" s="31">
        <v>0</v>
      </c>
      <c r="W750" s="31">
        <v>0</v>
      </c>
      <c r="X750" s="31">
        <v>0</v>
      </c>
      <c r="Y750" s="31">
        <v>0</v>
      </c>
      <c r="Z750" s="31">
        <v>0</v>
      </c>
      <c r="AA750" s="31">
        <v>0</v>
      </c>
      <c r="AB750" s="31">
        <v>0</v>
      </c>
      <c r="AC750" s="31">
        <f t="shared" si="138"/>
        <v>0</v>
      </c>
      <c r="AD750" s="31">
        <v>100000</v>
      </c>
      <c r="AE750" s="31">
        <v>0</v>
      </c>
      <c r="AF750" s="34">
        <v>2021</v>
      </c>
      <c r="AG750" s="34" t="s">
        <v>274</v>
      </c>
      <c r="AH750" s="35" t="s">
        <v>274</v>
      </c>
      <c r="BZ750" s="71"/>
      <c r="CD750" s="20" t="e">
        <f t="shared" si="137"/>
        <v>#N/A</v>
      </c>
    </row>
    <row r="751" spans="1:82" ht="61.5" x14ac:dyDescent="0.85">
      <c r="A751" s="20">
        <v>1</v>
      </c>
      <c r="B751" s="66">
        <f>SUBTOTAL(103,$A$554:A751)</f>
        <v>196</v>
      </c>
      <c r="C751" s="24" t="s">
        <v>443</v>
      </c>
      <c r="D751" s="31">
        <f t="shared" si="135"/>
        <v>150000</v>
      </c>
      <c r="E751" s="31">
        <v>0</v>
      </c>
      <c r="F751" s="31">
        <v>0</v>
      </c>
      <c r="G751" s="31">
        <v>0</v>
      </c>
      <c r="H751" s="31">
        <v>0</v>
      </c>
      <c r="I751" s="31">
        <v>0</v>
      </c>
      <c r="J751" s="31">
        <v>0</v>
      </c>
      <c r="K751" s="33">
        <v>0</v>
      </c>
      <c r="L751" s="31">
        <v>0</v>
      </c>
      <c r="M751" s="31">
        <v>0</v>
      </c>
      <c r="N751" s="31">
        <v>0</v>
      </c>
      <c r="O751" s="31">
        <v>0</v>
      </c>
      <c r="P751" s="31">
        <v>0</v>
      </c>
      <c r="Q751" s="31">
        <v>0</v>
      </c>
      <c r="R751" s="31">
        <v>0</v>
      </c>
      <c r="S751" s="31">
        <v>0</v>
      </c>
      <c r="T751" s="31">
        <v>0</v>
      </c>
      <c r="U751" s="31">
        <v>0</v>
      </c>
      <c r="V751" s="31">
        <v>0</v>
      </c>
      <c r="W751" s="31">
        <v>0</v>
      </c>
      <c r="X751" s="31">
        <v>0</v>
      </c>
      <c r="Y751" s="31">
        <v>0</v>
      </c>
      <c r="Z751" s="31">
        <v>0</v>
      </c>
      <c r="AA751" s="31">
        <v>0</v>
      </c>
      <c r="AB751" s="31">
        <v>0</v>
      </c>
      <c r="AC751" s="31">
        <f t="shared" si="138"/>
        <v>0</v>
      </c>
      <c r="AD751" s="31">
        <v>150000</v>
      </c>
      <c r="AE751" s="31">
        <v>0</v>
      </c>
      <c r="AF751" s="34">
        <v>2021</v>
      </c>
      <c r="AG751" s="34" t="s">
        <v>274</v>
      </c>
      <c r="AH751" s="35" t="s">
        <v>274</v>
      </c>
      <c r="BZ751" s="71"/>
      <c r="CD751" s="20" t="e">
        <f t="shared" si="137"/>
        <v>#N/A</v>
      </c>
    </row>
    <row r="752" spans="1:82" ht="61.5" x14ac:dyDescent="0.85">
      <c r="A752" s="20">
        <v>1</v>
      </c>
      <c r="B752" s="66">
        <f>SUBTOTAL(103,$A$554:A752)</f>
        <v>197</v>
      </c>
      <c r="C752" s="24" t="s">
        <v>444</v>
      </c>
      <c r="D752" s="31">
        <f t="shared" si="135"/>
        <v>150000</v>
      </c>
      <c r="E752" s="31">
        <v>0</v>
      </c>
      <c r="F752" s="31">
        <v>0</v>
      </c>
      <c r="G752" s="31">
        <v>0</v>
      </c>
      <c r="H752" s="31">
        <v>0</v>
      </c>
      <c r="I752" s="31">
        <v>0</v>
      </c>
      <c r="J752" s="31">
        <v>0</v>
      </c>
      <c r="K752" s="33">
        <v>0</v>
      </c>
      <c r="L752" s="31">
        <v>0</v>
      </c>
      <c r="M752" s="31">
        <v>0</v>
      </c>
      <c r="N752" s="31">
        <v>0</v>
      </c>
      <c r="O752" s="31">
        <v>0</v>
      </c>
      <c r="P752" s="31">
        <v>0</v>
      </c>
      <c r="Q752" s="31">
        <v>0</v>
      </c>
      <c r="R752" s="31">
        <v>0</v>
      </c>
      <c r="S752" s="31">
        <v>0</v>
      </c>
      <c r="T752" s="31">
        <v>0</v>
      </c>
      <c r="U752" s="31">
        <v>0</v>
      </c>
      <c r="V752" s="31">
        <v>0</v>
      </c>
      <c r="W752" s="31">
        <v>0</v>
      </c>
      <c r="X752" s="31">
        <v>0</v>
      </c>
      <c r="Y752" s="31">
        <v>0</v>
      </c>
      <c r="Z752" s="31">
        <v>0</v>
      </c>
      <c r="AA752" s="31">
        <v>0</v>
      </c>
      <c r="AB752" s="31">
        <v>0</v>
      </c>
      <c r="AC752" s="31">
        <f t="shared" si="138"/>
        <v>0</v>
      </c>
      <c r="AD752" s="31">
        <v>150000</v>
      </c>
      <c r="AE752" s="31">
        <v>0</v>
      </c>
      <c r="AF752" s="34">
        <v>2021</v>
      </c>
      <c r="AG752" s="34" t="s">
        <v>274</v>
      </c>
      <c r="AH752" s="35" t="s">
        <v>274</v>
      </c>
      <c r="BZ752" s="71"/>
      <c r="CD752" s="20" t="e">
        <f t="shared" si="137"/>
        <v>#N/A</v>
      </c>
    </row>
    <row r="753" spans="1:82" ht="61.5" x14ac:dyDescent="0.85">
      <c r="A753" s="20">
        <v>1</v>
      </c>
      <c r="B753" s="66">
        <f>SUBTOTAL(103,$A$554:A753)</f>
        <v>198</v>
      </c>
      <c r="C753" s="24" t="s">
        <v>445</v>
      </c>
      <c r="D753" s="31">
        <f t="shared" si="135"/>
        <v>120000</v>
      </c>
      <c r="E753" s="31">
        <v>0</v>
      </c>
      <c r="F753" s="31">
        <v>0</v>
      </c>
      <c r="G753" s="31">
        <v>0</v>
      </c>
      <c r="H753" s="31">
        <v>0</v>
      </c>
      <c r="I753" s="31">
        <v>0</v>
      </c>
      <c r="J753" s="31">
        <v>0</v>
      </c>
      <c r="K753" s="33">
        <v>0</v>
      </c>
      <c r="L753" s="31">
        <v>0</v>
      </c>
      <c r="M753" s="31">
        <v>0</v>
      </c>
      <c r="N753" s="31">
        <v>0</v>
      </c>
      <c r="O753" s="31">
        <v>0</v>
      </c>
      <c r="P753" s="31">
        <v>0</v>
      </c>
      <c r="Q753" s="31">
        <v>0</v>
      </c>
      <c r="R753" s="31">
        <v>0</v>
      </c>
      <c r="S753" s="31">
        <v>0</v>
      </c>
      <c r="T753" s="31">
        <v>0</v>
      </c>
      <c r="U753" s="31">
        <v>0</v>
      </c>
      <c r="V753" s="31">
        <v>0</v>
      </c>
      <c r="W753" s="31">
        <v>0</v>
      </c>
      <c r="X753" s="31">
        <v>0</v>
      </c>
      <c r="Y753" s="31">
        <v>0</v>
      </c>
      <c r="Z753" s="31">
        <v>0</v>
      </c>
      <c r="AA753" s="31">
        <v>0</v>
      </c>
      <c r="AB753" s="31">
        <v>0</v>
      </c>
      <c r="AC753" s="31">
        <f t="shared" si="138"/>
        <v>0</v>
      </c>
      <c r="AD753" s="31">
        <v>120000</v>
      </c>
      <c r="AE753" s="31">
        <v>0</v>
      </c>
      <c r="AF753" s="34">
        <v>2021</v>
      </c>
      <c r="AG753" s="34" t="s">
        <v>274</v>
      </c>
      <c r="AH753" s="35" t="s">
        <v>274</v>
      </c>
      <c r="BZ753" s="71"/>
      <c r="CD753" s="20" t="e">
        <f t="shared" si="137"/>
        <v>#N/A</v>
      </c>
    </row>
    <row r="754" spans="1:82" ht="61.5" x14ac:dyDescent="0.85">
      <c r="A754" s="20">
        <v>1</v>
      </c>
      <c r="B754" s="66">
        <f>SUBTOTAL(103,$A$554:A754)</f>
        <v>199</v>
      </c>
      <c r="C754" s="24" t="s">
        <v>446</v>
      </c>
      <c r="D754" s="31">
        <f t="shared" si="135"/>
        <v>180000</v>
      </c>
      <c r="E754" s="31">
        <v>0</v>
      </c>
      <c r="F754" s="31">
        <v>0</v>
      </c>
      <c r="G754" s="31">
        <v>0</v>
      </c>
      <c r="H754" s="31">
        <v>0</v>
      </c>
      <c r="I754" s="31">
        <v>0</v>
      </c>
      <c r="J754" s="31">
        <v>0</v>
      </c>
      <c r="K754" s="33">
        <v>0</v>
      </c>
      <c r="L754" s="31">
        <v>0</v>
      </c>
      <c r="M754" s="31">
        <v>0</v>
      </c>
      <c r="N754" s="31">
        <v>0</v>
      </c>
      <c r="O754" s="31">
        <v>0</v>
      </c>
      <c r="P754" s="31">
        <v>0</v>
      </c>
      <c r="Q754" s="31">
        <v>0</v>
      </c>
      <c r="R754" s="31">
        <v>0</v>
      </c>
      <c r="S754" s="31">
        <v>0</v>
      </c>
      <c r="T754" s="31">
        <v>0</v>
      </c>
      <c r="U754" s="31">
        <v>0</v>
      </c>
      <c r="V754" s="31">
        <v>0</v>
      </c>
      <c r="W754" s="31">
        <v>0</v>
      </c>
      <c r="X754" s="31">
        <v>0</v>
      </c>
      <c r="Y754" s="31">
        <v>0</v>
      </c>
      <c r="Z754" s="31">
        <v>0</v>
      </c>
      <c r="AA754" s="31">
        <v>0</v>
      </c>
      <c r="AB754" s="31">
        <v>0</v>
      </c>
      <c r="AC754" s="31">
        <f t="shared" si="138"/>
        <v>0</v>
      </c>
      <c r="AD754" s="31">
        <v>180000</v>
      </c>
      <c r="AE754" s="31">
        <v>0</v>
      </c>
      <c r="AF754" s="34">
        <v>2021</v>
      </c>
      <c r="AG754" s="34" t="s">
        <v>274</v>
      </c>
      <c r="AH754" s="35" t="s">
        <v>274</v>
      </c>
      <c r="BZ754" s="71"/>
      <c r="CD754" s="20" t="e">
        <f t="shared" si="137"/>
        <v>#N/A</v>
      </c>
    </row>
    <row r="755" spans="1:82" ht="61.5" x14ac:dyDescent="0.85">
      <c r="A755" s="20">
        <v>1</v>
      </c>
      <c r="B755" s="66">
        <f>SUBTOTAL(103,$A$554:A755)</f>
        <v>200</v>
      </c>
      <c r="C755" s="24" t="s">
        <v>447</v>
      </c>
      <c r="D755" s="31">
        <f t="shared" si="135"/>
        <v>150000</v>
      </c>
      <c r="E755" s="31">
        <v>0</v>
      </c>
      <c r="F755" s="31">
        <v>0</v>
      </c>
      <c r="G755" s="31">
        <v>0</v>
      </c>
      <c r="H755" s="31">
        <v>0</v>
      </c>
      <c r="I755" s="31">
        <v>0</v>
      </c>
      <c r="J755" s="31">
        <v>0</v>
      </c>
      <c r="K755" s="33">
        <v>0</v>
      </c>
      <c r="L755" s="31">
        <v>0</v>
      </c>
      <c r="M755" s="31">
        <v>0</v>
      </c>
      <c r="N755" s="31">
        <v>0</v>
      </c>
      <c r="O755" s="31">
        <v>0</v>
      </c>
      <c r="P755" s="31">
        <v>0</v>
      </c>
      <c r="Q755" s="31">
        <v>0</v>
      </c>
      <c r="R755" s="31">
        <v>0</v>
      </c>
      <c r="S755" s="31">
        <v>0</v>
      </c>
      <c r="T755" s="31">
        <v>0</v>
      </c>
      <c r="U755" s="31">
        <v>0</v>
      </c>
      <c r="V755" s="31">
        <v>0</v>
      </c>
      <c r="W755" s="31">
        <v>0</v>
      </c>
      <c r="X755" s="31">
        <v>0</v>
      </c>
      <c r="Y755" s="31">
        <v>0</v>
      </c>
      <c r="Z755" s="31">
        <v>0</v>
      </c>
      <c r="AA755" s="31">
        <v>0</v>
      </c>
      <c r="AB755" s="31">
        <v>0</v>
      </c>
      <c r="AC755" s="31">
        <f t="shared" si="138"/>
        <v>0</v>
      </c>
      <c r="AD755" s="31">
        <v>150000</v>
      </c>
      <c r="AE755" s="31">
        <v>0</v>
      </c>
      <c r="AF755" s="34">
        <v>2021</v>
      </c>
      <c r="AG755" s="34" t="s">
        <v>274</v>
      </c>
      <c r="AH755" s="35" t="s">
        <v>274</v>
      </c>
      <c r="BZ755" s="71"/>
      <c r="CD755" s="20" t="e">
        <f t="shared" si="137"/>
        <v>#N/A</v>
      </c>
    </row>
    <row r="756" spans="1:82" ht="61.5" x14ac:dyDescent="0.85">
      <c r="A756" s="20">
        <v>1</v>
      </c>
      <c r="B756" s="66">
        <f>SUBTOTAL(103,$A$554:A756)</f>
        <v>201</v>
      </c>
      <c r="C756" s="24" t="s">
        <v>448</v>
      </c>
      <c r="D756" s="31">
        <f t="shared" si="135"/>
        <v>120000</v>
      </c>
      <c r="E756" s="31">
        <v>0</v>
      </c>
      <c r="F756" s="31">
        <v>0</v>
      </c>
      <c r="G756" s="31">
        <v>0</v>
      </c>
      <c r="H756" s="31">
        <v>0</v>
      </c>
      <c r="I756" s="31">
        <v>0</v>
      </c>
      <c r="J756" s="31">
        <v>0</v>
      </c>
      <c r="K756" s="33">
        <v>0</v>
      </c>
      <c r="L756" s="31">
        <v>0</v>
      </c>
      <c r="M756" s="31">
        <v>0</v>
      </c>
      <c r="N756" s="31">
        <v>0</v>
      </c>
      <c r="O756" s="31">
        <v>0</v>
      </c>
      <c r="P756" s="31">
        <v>0</v>
      </c>
      <c r="Q756" s="31">
        <v>0</v>
      </c>
      <c r="R756" s="31">
        <v>0</v>
      </c>
      <c r="S756" s="31">
        <v>0</v>
      </c>
      <c r="T756" s="31">
        <v>0</v>
      </c>
      <c r="U756" s="31">
        <v>0</v>
      </c>
      <c r="V756" s="31">
        <v>0</v>
      </c>
      <c r="W756" s="31">
        <v>0</v>
      </c>
      <c r="X756" s="31">
        <v>0</v>
      </c>
      <c r="Y756" s="31">
        <v>0</v>
      </c>
      <c r="Z756" s="31">
        <v>0</v>
      </c>
      <c r="AA756" s="31">
        <v>0</v>
      </c>
      <c r="AB756" s="31">
        <v>0</v>
      </c>
      <c r="AC756" s="31">
        <f t="shared" si="138"/>
        <v>0</v>
      </c>
      <c r="AD756" s="31">
        <v>120000</v>
      </c>
      <c r="AE756" s="31">
        <v>0</v>
      </c>
      <c r="AF756" s="34">
        <v>2021</v>
      </c>
      <c r="AG756" s="34" t="s">
        <v>274</v>
      </c>
      <c r="AH756" s="35" t="s">
        <v>274</v>
      </c>
      <c r="BZ756" s="71"/>
      <c r="CD756" s="20" t="e">
        <f t="shared" si="137"/>
        <v>#N/A</v>
      </c>
    </row>
    <row r="757" spans="1:82" ht="61.5" x14ac:dyDescent="0.85">
      <c r="A757" s="20">
        <v>1</v>
      </c>
      <c r="B757" s="66">
        <f>SUBTOTAL(103,$A$554:A757)</f>
        <v>202</v>
      </c>
      <c r="C757" s="24" t="s">
        <v>214</v>
      </c>
      <c r="D757" s="31">
        <f t="shared" si="135"/>
        <v>150000</v>
      </c>
      <c r="E757" s="31">
        <v>0</v>
      </c>
      <c r="F757" s="31">
        <v>0</v>
      </c>
      <c r="G757" s="31">
        <v>0</v>
      </c>
      <c r="H757" s="31">
        <v>0</v>
      </c>
      <c r="I757" s="31">
        <v>0</v>
      </c>
      <c r="J757" s="31">
        <v>0</v>
      </c>
      <c r="K757" s="33">
        <v>0</v>
      </c>
      <c r="L757" s="31">
        <v>0</v>
      </c>
      <c r="M757" s="31">
        <v>0</v>
      </c>
      <c r="N757" s="31">
        <v>0</v>
      </c>
      <c r="O757" s="31">
        <v>0</v>
      </c>
      <c r="P757" s="31">
        <v>0</v>
      </c>
      <c r="Q757" s="31">
        <v>0</v>
      </c>
      <c r="R757" s="31">
        <v>0</v>
      </c>
      <c r="S757" s="31">
        <v>0</v>
      </c>
      <c r="T757" s="31">
        <v>0</v>
      </c>
      <c r="U757" s="31">
        <v>0</v>
      </c>
      <c r="V757" s="31">
        <v>0</v>
      </c>
      <c r="W757" s="31">
        <v>0</v>
      </c>
      <c r="X757" s="31">
        <v>0</v>
      </c>
      <c r="Y757" s="31">
        <v>0</v>
      </c>
      <c r="Z757" s="31">
        <v>0</v>
      </c>
      <c r="AA757" s="31">
        <v>0</v>
      </c>
      <c r="AB757" s="31">
        <v>0</v>
      </c>
      <c r="AC757" s="31">
        <f t="shared" si="138"/>
        <v>0</v>
      </c>
      <c r="AD757" s="31">
        <v>150000</v>
      </c>
      <c r="AE757" s="31">
        <v>0</v>
      </c>
      <c r="AF757" s="34">
        <v>2021</v>
      </c>
      <c r="AG757" s="34" t="s">
        <v>274</v>
      </c>
      <c r="AH757" s="35" t="s">
        <v>274</v>
      </c>
      <c r="BZ757" s="71"/>
      <c r="CD757" s="20" t="e">
        <f t="shared" si="137"/>
        <v>#N/A</v>
      </c>
    </row>
    <row r="758" spans="1:82" ht="61.5" x14ac:dyDescent="0.85">
      <c r="A758" s="20">
        <v>1</v>
      </c>
      <c r="B758" s="66">
        <f>SUBTOTAL(103,$A$554:A758)</f>
        <v>203</v>
      </c>
      <c r="C758" s="24" t="s">
        <v>213</v>
      </c>
      <c r="D758" s="31">
        <f t="shared" si="135"/>
        <v>150000</v>
      </c>
      <c r="E758" s="31">
        <v>0</v>
      </c>
      <c r="F758" s="31">
        <v>0</v>
      </c>
      <c r="G758" s="31">
        <v>0</v>
      </c>
      <c r="H758" s="31">
        <v>0</v>
      </c>
      <c r="I758" s="31">
        <v>0</v>
      </c>
      <c r="J758" s="31">
        <v>0</v>
      </c>
      <c r="K758" s="33">
        <v>0</v>
      </c>
      <c r="L758" s="31">
        <v>0</v>
      </c>
      <c r="M758" s="31">
        <v>0</v>
      </c>
      <c r="N758" s="31">
        <v>0</v>
      </c>
      <c r="O758" s="31">
        <v>0</v>
      </c>
      <c r="P758" s="31">
        <v>0</v>
      </c>
      <c r="Q758" s="31">
        <v>0</v>
      </c>
      <c r="R758" s="31">
        <v>0</v>
      </c>
      <c r="S758" s="31">
        <v>0</v>
      </c>
      <c r="T758" s="31">
        <v>0</v>
      </c>
      <c r="U758" s="31">
        <v>0</v>
      </c>
      <c r="V758" s="31">
        <v>0</v>
      </c>
      <c r="W758" s="31">
        <v>0</v>
      </c>
      <c r="X758" s="31">
        <v>0</v>
      </c>
      <c r="Y758" s="31">
        <v>0</v>
      </c>
      <c r="Z758" s="31">
        <v>0</v>
      </c>
      <c r="AA758" s="31">
        <v>0</v>
      </c>
      <c r="AB758" s="31">
        <v>0</v>
      </c>
      <c r="AC758" s="31">
        <f t="shared" si="138"/>
        <v>0</v>
      </c>
      <c r="AD758" s="31">
        <v>150000</v>
      </c>
      <c r="AE758" s="31">
        <v>0</v>
      </c>
      <c r="AF758" s="34">
        <v>2021</v>
      </c>
      <c r="AG758" s="34" t="s">
        <v>274</v>
      </c>
      <c r="AH758" s="35" t="s">
        <v>274</v>
      </c>
      <c r="BZ758" s="71"/>
      <c r="CD758" s="20" t="e">
        <f t="shared" si="137"/>
        <v>#N/A</v>
      </c>
    </row>
    <row r="759" spans="1:82" ht="61.5" x14ac:dyDescent="0.85">
      <c r="A759" s="20">
        <v>1</v>
      </c>
      <c r="B759" s="66">
        <f>SUBTOTAL(103,$A$554:A759)</f>
        <v>204</v>
      </c>
      <c r="C759" s="24" t="s">
        <v>449</v>
      </c>
      <c r="D759" s="31">
        <f t="shared" si="135"/>
        <v>100000</v>
      </c>
      <c r="E759" s="31">
        <v>0</v>
      </c>
      <c r="F759" s="31">
        <v>0</v>
      </c>
      <c r="G759" s="31">
        <v>0</v>
      </c>
      <c r="H759" s="31">
        <v>0</v>
      </c>
      <c r="I759" s="31">
        <v>0</v>
      </c>
      <c r="J759" s="31">
        <v>0</v>
      </c>
      <c r="K759" s="33">
        <v>0</v>
      </c>
      <c r="L759" s="31">
        <v>0</v>
      </c>
      <c r="M759" s="31">
        <v>0</v>
      </c>
      <c r="N759" s="31">
        <v>0</v>
      </c>
      <c r="O759" s="31">
        <v>0</v>
      </c>
      <c r="P759" s="31">
        <v>0</v>
      </c>
      <c r="Q759" s="31">
        <v>0</v>
      </c>
      <c r="R759" s="31">
        <v>0</v>
      </c>
      <c r="S759" s="31">
        <v>0</v>
      </c>
      <c r="T759" s="31">
        <v>0</v>
      </c>
      <c r="U759" s="31">
        <v>0</v>
      </c>
      <c r="V759" s="31">
        <v>0</v>
      </c>
      <c r="W759" s="31">
        <v>0</v>
      </c>
      <c r="X759" s="31">
        <v>0</v>
      </c>
      <c r="Y759" s="31">
        <v>0</v>
      </c>
      <c r="Z759" s="31">
        <v>0</v>
      </c>
      <c r="AA759" s="31">
        <v>0</v>
      </c>
      <c r="AB759" s="31">
        <v>0</v>
      </c>
      <c r="AC759" s="31">
        <f t="shared" si="138"/>
        <v>0</v>
      </c>
      <c r="AD759" s="31">
        <v>100000</v>
      </c>
      <c r="AE759" s="31">
        <v>0</v>
      </c>
      <c r="AF759" s="34">
        <v>2021</v>
      </c>
      <c r="AG759" s="34" t="s">
        <v>274</v>
      </c>
      <c r="AH759" s="35" t="s">
        <v>274</v>
      </c>
      <c r="BZ759" s="71"/>
      <c r="CD759" s="20" t="e">
        <f t="shared" si="137"/>
        <v>#N/A</v>
      </c>
    </row>
    <row r="760" spans="1:82" ht="61.5" x14ac:dyDescent="0.85">
      <c r="A760" s="20">
        <v>1</v>
      </c>
      <c r="B760" s="66">
        <f>SUBTOTAL(103,$A$554:A760)</f>
        <v>205</v>
      </c>
      <c r="C760" s="24" t="s">
        <v>450</v>
      </c>
      <c r="D760" s="31">
        <f t="shared" si="135"/>
        <v>120000</v>
      </c>
      <c r="E760" s="31">
        <v>0</v>
      </c>
      <c r="F760" s="31">
        <v>0</v>
      </c>
      <c r="G760" s="31">
        <v>0</v>
      </c>
      <c r="H760" s="31">
        <v>0</v>
      </c>
      <c r="I760" s="31">
        <v>0</v>
      </c>
      <c r="J760" s="31">
        <v>0</v>
      </c>
      <c r="K760" s="33">
        <v>0</v>
      </c>
      <c r="L760" s="31">
        <v>0</v>
      </c>
      <c r="M760" s="31">
        <v>0</v>
      </c>
      <c r="N760" s="31">
        <v>0</v>
      </c>
      <c r="O760" s="31">
        <v>0</v>
      </c>
      <c r="P760" s="31">
        <v>0</v>
      </c>
      <c r="Q760" s="31">
        <v>0</v>
      </c>
      <c r="R760" s="31">
        <v>0</v>
      </c>
      <c r="S760" s="31">
        <v>0</v>
      </c>
      <c r="T760" s="31">
        <v>0</v>
      </c>
      <c r="U760" s="31">
        <v>0</v>
      </c>
      <c r="V760" s="31">
        <v>0</v>
      </c>
      <c r="W760" s="31">
        <v>0</v>
      </c>
      <c r="X760" s="31">
        <v>0</v>
      </c>
      <c r="Y760" s="31">
        <v>0</v>
      </c>
      <c r="Z760" s="31">
        <v>0</v>
      </c>
      <c r="AA760" s="31">
        <v>0</v>
      </c>
      <c r="AB760" s="31">
        <v>0</v>
      </c>
      <c r="AC760" s="31">
        <f t="shared" si="138"/>
        <v>0</v>
      </c>
      <c r="AD760" s="31">
        <v>120000</v>
      </c>
      <c r="AE760" s="31">
        <v>0</v>
      </c>
      <c r="AF760" s="34">
        <v>2021</v>
      </c>
      <c r="AG760" s="34" t="s">
        <v>274</v>
      </c>
      <c r="AH760" s="35" t="s">
        <v>274</v>
      </c>
      <c r="BZ760" s="71"/>
      <c r="CD760" s="20" t="e">
        <f t="shared" si="137"/>
        <v>#N/A</v>
      </c>
    </row>
    <row r="761" spans="1:82" ht="61.5" x14ac:dyDescent="0.85">
      <c r="A761" s="20">
        <v>1</v>
      </c>
      <c r="B761" s="66">
        <f>SUBTOTAL(103,$A$554:A761)</f>
        <v>206</v>
      </c>
      <c r="C761" s="24" t="s">
        <v>451</v>
      </c>
      <c r="D761" s="31">
        <f t="shared" si="135"/>
        <v>150000</v>
      </c>
      <c r="E761" s="31">
        <v>0</v>
      </c>
      <c r="F761" s="31">
        <v>0</v>
      </c>
      <c r="G761" s="31">
        <v>0</v>
      </c>
      <c r="H761" s="31">
        <v>0</v>
      </c>
      <c r="I761" s="31">
        <v>0</v>
      </c>
      <c r="J761" s="31">
        <v>0</v>
      </c>
      <c r="K761" s="33">
        <v>0</v>
      </c>
      <c r="L761" s="31">
        <v>0</v>
      </c>
      <c r="M761" s="31">
        <v>0</v>
      </c>
      <c r="N761" s="31">
        <v>0</v>
      </c>
      <c r="O761" s="31">
        <v>0</v>
      </c>
      <c r="P761" s="31">
        <v>0</v>
      </c>
      <c r="Q761" s="31">
        <v>0</v>
      </c>
      <c r="R761" s="31">
        <v>0</v>
      </c>
      <c r="S761" s="31">
        <v>0</v>
      </c>
      <c r="T761" s="31">
        <v>0</v>
      </c>
      <c r="U761" s="31">
        <v>0</v>
      </c>
      <c r="V761" s="31">
        <v>0</v>
      </c>
      <c r="W761" s="31">
        <v>0</v>
      </c>
      <c r="X761" s="31">
        <v>0</v>
      </c>
      <c r="Y761" s="31">
        <v>0</v>
      </c>
      <c r="Z761" s="31">
        <v>0</v>
      </c>
      <c r="AA761" s="31">
        <v>0</v>
      </c>
      <c r="AB761" s="31">
        <v>0</v>
      </c>
      <c r="AC761" s="31">
        <f t="shared" si="138"/>
        <v>0</v>
      </c>
      <c r="AD761" s="31">
        <v>150000</v>
      </c>
      <c r="AE761" s="31">
        <v>0</v>
      </c>
      <c r="AF761" s="34">
        <v>2021</v>
      </c>
      <c r="AG761" s="34" t="s">
        <v>274</v>
      </c>
      <c r="AH761" s="35" t="s">
        <v>274</v>
      </c>
      <c r="BZ761" s="71"/>
      <c r="CD761" s="20" t="e">
        <f t="shared" si="137"/>
        <v>#N/A</v>
      </c>
    </row>
    <row r="762" spans="1:82" ht="61.5" x14ac:dyDescent="0.85">
      <c r="A762" s="20">
        <v>1</v>
      </c>
      <c r="B762" s="66">
        <f>SUBTOTAL(103,$A$554:A762)</f>
        <v>207</v>
      </c>
      <c r="C762" s="24" t="s">
        <v>452</v>
      </c>
      <c r="D762" s="31">
        <f t="shared" si="135"/>
        <v>120000</v>
      </c>
      <c r="E762" s="31">
        <v>0</v>
      </c>
      <c r="F762" s="31">
        <v>0</v>
      </c>
      <c r="G762" s="31">
        <v>0</v>
      </c>
      <c r="H762" s="31">
        <v>0</v>
      </c>
      <c r="I762" s="31">
        <v>0</v>
      </c>
      <c r="J762" s="31">
        <v>0</v>
      </c>
      <c r="K762" s="33">
        <v>0</v>
      </c>
      <c r="L762" s="31">
        <v>0</v>
      </c>
      <c r="M762" s="31">
        <v>0</v>
      </c>
      <c r="N762" s="31">
        <v>0</v>
      </c>
      <c r="O762" s="31">
        <v>0</v>
      </c>
      <c r="P762" s="31">
        <v>0</v>
      </c>
      <c r="Q762" s="31">
        <v>0</v>
      </c>
      <c r="R762" s="31">
        <v>0</v>
      </c>
      <c r="S762" s="31">
        <v>0</v>
      </c>
      <c r="T762" s="31">
        <v>0</v>
      </c>
      <c r="U762" s="31">
        <v>0</v>
      </c>
      <c r="V762" s="31">
        <v>0</v>
      </c>
      <c r="W762" s="31">
        <v>0</v>
      </c>
      <c r="X762" s="31">
        <v>0</v>
      </c>
      <c r="Y762" s="31">
        <v>0</v>
      </c>
      <c r="Z762" s="31">
        <v>0</v>
      </c>
      <c r="AA762" s="31">
        <v>0</v>
      </c>
      <c r="AB762" s="31">
        <v>0</v>
      </c>
      <c r="AC762" s="31">
        <f t="shared" si="138"/>
        <v>0</v>
      </c>
      <c r="AD762" s="31">
        <v>120000</v>
      </c>
      <c r="AE762" s="31">
        <v>0</v>
      </c>
      <c r="AF762" s="34">
        <v>2021</v>
      </c>
      <c r="AG762" s="34" t="s">
        <v>274</v>
      </c>
      <c r="AH762" s="35" t="s">
        <v>274</v>
      </c>
      <c r="BZ762" s="71"/>
      <c r="CD762" s="20" t="e">
        <f t="shared" si="137"/>
        <v>#N/A</v>
      </c>
    </row>
    <row r="763" spans="1:82" ht="61.5" x14ac:dyDescent="0.85">
      <c r="A763" s="20">
        <v>1</v>
      </c>
      <c r="B763" s="66">
        <f>SUBTOTAL(103,$A$554:A763)</f>
        <v>208</v>
      </c>
      <c r="C763" s="24" t="s">
        <v>839</v>
      </c>
      <c r="D763" s="31">
        <f t="shared" si="135"/>
        <v>100000</v>
      </c>
      <c r="E763" s="31">
        <v>0</v>
      </c>
      <c r="F763" s="31">
        <v>0</v>
      </c>
      <c r="G763" s="31">
        <v>0</v>
      </c>
      <c r="H763" s="31">
        <v>0</v>
      </c>
      <c r="I763" s="31">
        <v>0</v>
      </c>
      <c r="J763" s="31">
        <v>0</v>
      </c>
      <c r="K763" s="33">
        <v>0</v>
      </c>
      <c r="L763" s="31">
        <v>0</v>
      </c>
      <c r="M763" s="31">
        <v>0</v>
      </c>
      <c r="N763" s="31">
        <v>0</v>
      </c>
      <c r="O763" s="31">
        <v>0</v>
      </c>
      <c r="P763" s="31">
        <v>0</v>
      </c>
      <c r="Q763" s="31">
        <v>0</v>
      </c>
      <c r="R763" s="31">
        <v>0</v>
      </c>
      <c r="S763" s="31">
        <v>0</v>
      </c>
      <c r="T763" s="31">
        <v>0</v>
      </c>
      <c r="U763" s="31">
        <v>0</v>
      </c>
      <c r="V763" s="31">
        <v>0</v>
      </c>
      <c r="W763" s="31">
        <v>0</v>
      </c>
      <c r="X763" s="31">
        <v>0</v>
      </c>
      <c r="Y763" s="31">
        <v>0</v>
      </c>
      <c r="Z763" s="31">
        <v>0</v>
      </c>
      <c r="AA763" s="31">
        <v>0</v>
      </c>
      <c r="AB763" s="31">
        <v>0</v>
      </c>
      <c r="AC763" s="31">
        <f t="shared" si="138"/>
        <v>0</v>
      </c>
      <c r="AD763" s="31">
        <v>100000</v>
      </c>
      <c r="AE763" s="31">
        <v>0</v>
      </c>
      <c r="AF763" s="34">
        <v>2021</v>
      </c>
      <c r="AG763" s="34" t="s">
        <v>274</v>
      </c>
      <c r="AH763" s="35" t="s">
        <v>274</v>
      </c>
      <c r="BZ763" s="71"/>
      <c r="CD763" s="20" t="e">
        <f t="shared" si="137"/>
        <v>#N/A</v>
      </c>
    </row>
    <row r="764" spans="1:82" ht="61.5" x14ac:dyDescent="0.85">
      <c r="B764" s="24" t="s">
        <v>785</v>
      </c>
      <c r="C764" s="24"/>
      <c r="D764" s="31">
        <f>SUM(D765:D784)</f>
        <v>43029746.93</v>
      </c>
      <c r="E764" s="31">
        <f t="shared" ref="E764:AE764" si="139">SUM(E765:E784)</f>
        <v>0</v>
      </c>
      <c r="F764" s="31">
        <f t="shared" si="139"/>
        <v>0</v>
      </c>
      <c r="G764" s="31">
        <f t="shared" si="139"/>
        <v>0</v>
      </c>
      <c r="H764" s="31">
        <f t="shared" si="139"/>
        <v>0</v>
      </c>
      <c r="I764" s="31">
        <f t="shared" si="139"/>
        <v>0</v>
      </c>
      <c r="J764" s="31">
        <f t="shared" si="139"/>
        <v>0</v>
      </c>
      <c r="K764" s="33">
        <f t="shared" si="139"/>
        <v>12</v>
      </c>
      <c r="L764" s="31">
        <f t="shared" si="139"/>
        <v>25273073.890000001</v>
      </c>
      <c r="M764" s="31">
        <f t="shared" si="139"/>
        <v>3212</v>
      </c>
      <c r="N764" s="31">
        <f t="shared" si="139"/>
        <v>15218397.07</v>
      </c>
      <c r="O764" s="31">
        <f t="shared" si="139"/>
        <v>0</v>
      </c>
      <c r="P764" s="31">
        <f t="shared" si="139"/>
        <v>0</v>
      </c>
      <c r="Q764" s="31">
        <f t="shared" si="139"/>
        <v>0</v>
      </c>
      <c r="R764" s="31">
        <f t="shared" si="139"/>
        <v>0</v>
      </c>
      <c r="S764" s="31">
        <f t="shared" si="139"/>
        <v>0</v>
      </c>
      <c r="T764" s="31">
        <f t="shared" si="139"/>
        <v>0</v>
      </c>
      <c r="U764" s="31">
        <f t="shared" si="139"/>
        <v>0</v>
      </c>
      <c r="V764" s="31">
        <f t="shared" si="139"/>
        <v>0</v>
      </c>
      <c r="W764" s="31">
        <f t="shared" si="139"/>
        <v>0</v>
      </c>
      <c r="X764" s="31">
        <f t="shared" si="139"/>
        <v>0</v>
      </c>
      <c r="Y764" s="31">
        <f t="shared" si="139"/>
        <v>0</v>
      </c>
      <c r="Z764" s="31">
        <f t="shared" si="139"/>
        <v>0</v>
      </c>
      <c r="AA764" s="31">
        <f t="shared" si="139"/>
        <v>0</v>
      </c>
      <c r="AB764" s="31">
        <f t="shared" si="139"/>
        <v>0</v>
      </c>
      <c r="AC764" s="31">
        <f t="shared" si="139"/>
        <v>228275.97</v>
      </c>
      <c r="AD764" s="31">
        <f t="shared" si="139"/>
        <v>2310000</v>
      </c>
      <c r="AE764" s="31">
        <f t="shared" si="139"/>
        <v>0</v>
      </c>
      <c r="AF764" s="72" t="s">
        <v>776</v>
      </c>
      <c r="AG764" s="72" t="s">
        <v>776</v>
      </c>
      <c r="AH764" s="89" t="s">
        <v>776</v>
      </c>
      <c r="AT764" s="20" t="e">
        <f t="shared" ref="AT764:AT772" si="140">VLOOKUP(C764,AW:AX,2,FALSE)</f>
        <v>#N/A</v>
      </c>
      <c r="BZ764" s="71">
        <v>43029746.93</v>
      </c>
      <c r="CD764" s="20" t="e">
        <f t="shared" si="137"/>
        <v>#N/A</v>
      </c>
    </row>
    <row r="765" spans="1:82" ht="61.5" x14ac:dyDescent="0.85">
      <c r="A765" s="20">
        <v>1</v>
      </c>
      <c r="B765" s="66">
        <f>SUBTOTAL(103,$A$554:A765)</f>
        <v>209</v>
      </c>
      <c r="C765" s="24" t="s">
        <v>798</v>
      </c>
      <c r="D765" s="31">
        <f t="shared" ref="D765:D784" si="141">E765+F765+G765+H765+I765+J765+L765+N765+P765+R765+T765+U765+V765+W765+X765+Y765+Z765+AA765+AB765+AC765+AD765+AE765</f>
        <v>3593042</v>
      </c>
      <c r="E765" s="31">
        <v>0</v>
      </c>
      <c r="F765" s="31">
        <v>0</v>
      </c>
      <c r="G765" s="31">
        <v>0</v>
      </c>
      <c r="H765" s="31">
        <v>0</v>
      </c>
      <c r="I765" s="31">
        <v>0</v>
      </c>
      <c r="J765" s="31">
        <v>0</v>
      </c>
      <c r="K765" s="33">
        <v>0</v>
      </c>
      <c r="L765" s="31">
        <v>0</v>
      </c>
      <c r="M765" s="31">
        <v>690</v>
      </c>
      <c r="N765" s="31">
        <v>3431568.47</v>
      </c>
      <c r="O765" s="31">
        <v>0</v>
      </c>
      <c r="P765" s="31">
        <v>0</v>
      </c>
      <c r="Q765" s="31">
        <v>0</v>
      </c>
      <c r="R765" s="31">
        <v>0</v>
      </c>
      <c r="S765" s="31">
        <v>0</v>
      </c>
      <c r="T765" s="31">
        <v>0</v>
      </c>
      <c r="U765" s="31">
        <v>0</v>
      </c>
      <c r="V765" s="31">
        <v>0</v>
      </c>
      <c r="W765" s="31">
        <v>0</v>
      </c>
      <c r="X765" s="31">
        <v>0</v>
      </c>
      <c r="Y765" s="31">
        <v>0</v>
      </c>
      <c r="Z765" s="31">
        <v>0</v>
      </c>
      <c r="AA765" s="31">
        <v>0</v>
      </c>
      <c r="AB765" s="31">
        <v>0</v>
      </c>
      <c r="AC765" s="31">
        <f>ROUND(N765*1.5%,2)</f>
        <v>51473.53</v>
      </c>
      <c r="AD765" s="31">
        <v>110000</v>
      </c>
      <c r="AE765" s="31">
        <v>0</v>
      </c>
      <c r="AF765" s="34">
        <v>2021</v>
      </c>
      <c r="AG765" s="34">
        <v>2021</v>
      </c>
      <c r="AH765" s="35">
        <v>2021</v>
      </c>
      <c r="AT765" s="20" t="e">
        <f t="shared" si="140"/>
        <v>#N/A</v>
      </c>
      <c r="BZ765" s="71"/>
      <c r="CD765" s="20" t="e">
        <f t="shared" si="137"/>
        <v>#N/A</v>
      </c>
    </row>
    <row r="766" spans="1:82" ht="61.5" x14ac:dyDescent="0.85">
      <c r="A766" s="20">
        <v>1</v>
      </c>
      <c r="B766" s="66">
        <f>SUBTOTAL(103,$A$554:A766)</f>
        <v>210</v>
      </c>
      <c r="C766" s="24" t="s">
        <v>799</v>
      </c>
      <c r="D766" s="31">
        <f t="shared" si="141"/>
        <v>6429744.8300000001</v>
      </c>
      <c r="E766" s="31">
        <v>0</v>
      </c>
      <c r="F766" s="31">
        <v>0</v>
      </c>
      <c r="G766" s="31">
        <v>0</v>
      </c>
      <c r="H766" s="31">
        <v>0</v>
      </c>
      <c r="I766" s="31">
        <v>0</v>
      </c>
      <c r="J766" s="31">
        <v>0</v>
      </c>
      <c r="K766" s="33">
        <v>3</v>
      </c>
      <c r="L766" s="31">
        <v>6329744.8300000001</v>
      </c>
      <c r="M766" s="31">
        <v>0</v>
      </c>
      <c r="N766" s="31">
        <v>0</v>
      </c>
      <c r="O766" s="31">
        <v>0</v>
      </c>
      <c r="P766" s="31">
        <v>0</v>
      </c>
      <c r="Q766" s="31">
        <v>0</v>
      </c>
      <c r="R766" s="31">
        <v>0</v>
      </c>
      <c r="S766" s="31">
        <v>0</v>
      </c>
      <c r="T766" s="31">
        <v>0</v>
      </c>
      <c r="U766" s="31">
        <v>0</v>
      </c>
      <c r="V766" s="31">
        <v>0</v>
      </c>
      <c r="W766" s="31">
        <v>0</v>
      </c>
      <c r="X766" s="31">
        <v>0</v>
      </c>
      <c r="Y766" s="31">
        <v>0</v>
      </c>
      <c r="Z766" s="31">
        <v>0</v>
      </c>
      <c r="AA766" s="31">
        <v>0</v>
      </c>
      <c r="AB766" s="31">
        <v>0</v>
      </c>
      <c r="AC766" s="31">
        <v>0</v>
      </c>
      <c r="AD766" s="31">
        <v>100000</v>
      </c>
      <c r="AE766" s="31">
        <v>0</v>
      </c>
      <c r="AF766" s="34">
        <v>2021</v>
      </c>
      <c r="AG766" s="34">
        <v>2021</v>
      </c>
      <c r="AH766" s="35" t="s">
        <v>274</v>
      </c>
      <c r="AT766" s="20" t="e">
        <f t="shared" si="140"/>
        <v>#N/A</v>
      </c>
      <c r="BZ766" s="71"/>
      <c r="CD766" s="20" t="e">
        <f t="shared" si="137"/>
        <v>#N/A</v>
      </c>
    </row>
    <row r="767" spans="1:82" ht="61.5" x14ac:dyDescent="0.85">
      <c r="A767" s="20">
        <v>1</v>
      </c>
      <c r="B767" s="66">
        <f>SUBTOTAL(103,$A$554:A767)</f>
        <v>211</v>
      </c>
      <c r="C767" s="24" t="s">
        <v>800</v>
      </c>
      <c r="D767" s="31">
        <f t="shared" si="141"/>
        <v>8572796.0600000005</v>
      </c>
      <c r="E767" s="31">
        <v>0</v>
      </c>
      <c r="F767" s="31">
        <v>0</v>
      </c>
      <c r="G767" s="31">
        <v>0</v>
      </c>
      <c r="H767" s="31">
        <v>0</v>
      </c>
      <c r="I767" s="31">
        <v>0</v>
      </c>
      <c r="J767" s="31">
        <v>0</v>
      </c>
      <c r="K767" s="33">
        <v>4</v>
      </c>
      <c r="L767" s="31">
        <v>8452796.0600000005</v>
      </c>
      <c r="M767" s="31">
        <v>0</v>
      </c>
      <c r="N767" s="31">
        <v>0</v>
      </c>
      <c r="O767" s="31">
        <v>0</v>
      </c>
      <c r="P767" s="31">
        <v>0</v>
      </c>
      <c r="Q767" s="31">
        <v>0</v>
      </c>
      <c r="R767" s="31">
        <v>0</v>
      </c>
      <c r="S767" s="31">
        <v>0</v>
      </c>
      <c r="T767" s="31">
        <v>0</v>
      </c>
      <c r="U767" s="31">
        <v>0</v>
      </c>
      <c r="V767" s="31">
        <v>0</v>
      </c>
      <c r="W767" s="31">
        <v>0</v>
      </c>
      <c r="X767" s="31">
        <v>0</v>
      </c>
      <c r="Y767" s="31">
        <v>0</v>
      </c>
      <c r="Z767" s="31">
        <v>0</v>
      </c>
      <c r="AA767" s="31">
        <v>0</v>
      </c>
      <c r="AB767" s="31">
        <v>0</v>
      </c>
      <c r="AC767" s="31">
        <v>0</v>
      </c>
      <c r="AD767" s="31">
        <v>120000</v>
      </c>
      <c r="AE767" s="31">
        <v>0</v>
      </c>
      <c r="AF767" s="34">
        <v>2021</v>
      </c>
      <c r="AG767" s="34">
        <v>2021</v>
      </c>
      <c r="AH767" s="35" t="s">
        <v>274</v>
      </c>
      <c r="AT767" s="20" t="e">
        <f t="shared" si="140"/>
        <v>#N/A</v>
      </c>
      <c r="BZ767" s="71"/>
      <c r="CD767" s="20" t="e">
        <f t="shared" si="137"/>
        <v>#N/A</v>
      </c>
    </row>
    <row r="768" spans="1:82" ht="61.5" x14ac:dyDescent="0.85">
      <c r="A768" s="20">
        <v>1</v>
      </c>
      <c r="B768" s="66">
        <f>SUBTOTAL(103,$A$554:A768)</f>
        <v>212</v>
      </c>
      <c r="C768" s="24" t="s">
        <v>1105</v>
      </c>
      <c r="D768" s="31">
        <f t="shared" si="141"/>
        <v>2932000</v>
      </c>
      <c r="E768" s="31">
        <v>0</v>
      </c>
      <c r="F768" s="31">
        <v>0</v>
      </c>
      <c r="G768" s="31">
        <v>0</v>
      </c>
      <c r="H768" s="31">
        <v>0</v>
      </c>
      <c r="I768" s="31">
        <v>0</v>
      </c>
      <c r="J768" s="31">
        <v>0</v>
      </c>
      <c r="K768" s="33">
        <v>0</v>
      </c>
      <c r="L768" s="31">
        <v>0</v>
      </c>
      <c r="M768" s="31">
        <v>590</v>
      </c>
      <c r="N768" s="31">
        <v>2790147.78</v>
      </c>
      <c r="O768" s="31">
        <v>0</v>
      </c>
      <c r="P768" s="31">
        <v>0</v>
      </c>
      <c r="Q768" s="31">
        <v>0</v>
      </c>
      <c r="R768" s="31">
        <v>0</v>
      </c>
      <c r="S768" s="31">
        <v>0</v>
      </c>
      <c r="T768" s="31">
        <v>0</v>
      </c>
      <c r="U768" s="31">
        <v>0</v>
      </c>
      <c r="V768" s="31">
        <v>0</v>
      </c>
      <c r="W768" s="31">
        <v>0</v>
      </c>
      <c r="X768" s="31">
        <v>0</v>
      </c>
      <c r="Y768" s="31">
        <v>0</v>
      </c>
      <c r="Z768" s="31">
        <v>0</v>
      </c>
      <c r="AA768" s="31">
        <v>0</v>
      </c>
      <c r="AB768" s="31">
        <v>0</v>
      </c>
      <c r="AC768" s="31">
        <f>ROUND(N768*1.5%,2)</f>
        <v>41852.22</v>
      </c>
      <c r="AD768" s="31">
        <v>100000</v>
      </c>
      <c r="AE768" s="31">
        <v>0</v>
      </c>
      <c r="AF768" s="34">
        <v>2021</v>
      </c>
      <c r="AG768" s="34">
        <v>2021</v>
      </c>
      <c r="AH768" s="35">
        <v>2021</v>
      </c>
      <c r="AT768" s="20" t="e">
        <f t="shared" si="140"/>
        <v>#N/A</v>
      </c>
      <c r="BZ768" s="71"/>
      <c r="CD768" s="20" t="e">
        <f t="shared" si="137"/>
        <v>#N/A</v>
      </c>
    </row>
    <row r="769" spans="1:82" ht="61.5" x14ac:dyDescent="0.85">
      <c r="A769" s="20">
        <v>1</v>
      </c>
      <c r="B769" s="66">
        <f>SUBTOTAL(103,$A$554:A769)</f>
        <v>213</v>
      </c>
      <c r="C769" s="24" t="s">
        <v>802</v>
      </c>
      <c r="D769" s="31">
        <f t="shared" si="141"/>
        <v>4286989.16</v>
      </c>
      <c r="E769" s="31">
        <v>0</v>
      </c>
      <c r="F769" s="31">
        <v>0</v>
      </c>
      <c r="G769" s="31">
        <v>0</v>
      </c>
      <c r="H769" s="31">
        <v>0</v>
      </c>
      <c r="I769" s="31">
        <v>0</v>
      </c>
      <c r="J769" s="31">
        <v>0</v>
      </c>
      <c r="K769" s="33">
        <v>2</v>
      </c>
      <c r="L769" s="31">
        <v>4186989.16</v>
      </c>
      <c r="M769" s="31">
        <v>0</v>
      </c>
      <c r="N769" s="31">
        <v>0</v>
      </c>
      <c r="O769" s="31">
        <v>0</v>
      </c>
      <c r="P769" s="31">
        <v>0</v>
      </c>
      <c r="Q769" s="31">
        <v>0</v>
      </c>
      <c r="R769" s="31">
        <v>0</v>
      </c>
      <c r="S769" s="31">
        <v>0</v>
      </c>
      <c r="T769" s="31">
        <v>0</v>
      </c>
      <c r="U769" s="31">
        <v>0</v>
      </c>
      <c r="V769" s="31">
        <v>0</v>
      </c>
      <c r="W769" s="31">
        <v>0</v>
      </c>
      <c r="X769" s="31">
        <v>0</v>
      </c>
      <c r="Y769" s="31">
        <v>0</v>
      </c>
      <c r="Z769" s="31">
        <v>0</v>
      </c>
      <c r="AA769" s="31">
        <v>0</v>
      </c>
      <c r="AB769" s="31">
        <v>0</v>
      </c>
      <c r="AC769" s="31">
        <v>0</v>
      </c>
      <c r="AD769" s="31">
        <v>100000</v>
      </c>
      <c r="AE769" s="31">
        <v>0</v>
      </c>
      <c r="AF769" s="34">
        <v>2021</v>
      </c>
      <c r="AG769" s="34">
        <v>2021</v>
      </c>
      <c r="AH769" s="35" t="s">
        <v>274</v>
      </c>
      <c r="AT769" s="20" t="e">
        <f t="shared" si="140"/>
        <v>#N/A</v>
      </c>
      <c r="BZ769" s="71"/>
      <c r="CD769" s="20" t="e">
        <f t="shared" si="137"/>
        <v>#N/A</v>
      </c>
    </row>
    <row r="770" spans="1:82" ht="61.5" x14ac:dyDescent="0.85">
      <c r="A770" s="20">
        <v>1</v>
      </c>
      <c r="B770" s="66">
        <f>SUBTOTAL(103,$A$554:A770)</f>
        <v>214</v>
      </c>
      <c r="C770" s="24" t="s">
        <v>803</v>
      </c>
      <c r="D770" s="31">
        <f t="shared" si="141"/>
        <v>5501631.04</v>
      </c>
      <c r="E770" s="31">
        <v>0</v>
      </c>
      <c r="F770" s="31">
        <v>0</v>
      </c>
      <c r="G770" s="31">
        <v>0</v>
      </c>
      <c r="H770" s="31">
        <v>0</v>
      </c>
      <c r="I770" s="31">
        <v>0</v>
      </c>
      <c r="J770" s="31">
        <v>0</v>
      </c>
      <c r="K770" s="33">
        <v>0</v>
      </c>
      <c r="L770" s="31">
        <v>0</v>
      </c>
      <c r="M770" s="31">
        <v>1154</v>
      </c>
      <c r="N770" s="31">
        <f>5798972.61-516577.5</f>
        <v>5282395.1100000003</v>
      </c>
      <c r="O770" s="31">
        <v>0</v>
      </c>
      <c r="P770" s="31">
        <v>0</v>
      </c>
      <c r="Q770" s="31">
        <v>0</v>
      </c>
      <c r="R770" s="31">
        <v>0</v>
      </c>
      <c r="S770" s="31">
        <v>0</v>
      </c>
      <c r="T770" s="31">
        <v>0</v>
      </c>
      <c r="U770" s="31">
        <v>0</v>
      </c>
      <c r="V770" s="31">
        <v>0</v>
      </c>
      <c r="W770" s="31">
        <v>0</v>
      </c>
      <c r="X770" s="31">
        <v>0</v>
      </c>
      <c r="Y770" s="31">
        <v>0</v>
      </c>
      <c r="Z770" s="31">
        <v>0</v>
      </c>
      <c r="AA770" s="31">
        <v>0</v>
      </c>
      <c r="AB770" s="31">
        <v>0</v>
      </c>
      <c r="AC770" s="31">
        <f>ROUND(N770*1.5%,2)</f>
        <v>79235.929999999993</v>
      </c>
      <c r="AD770" s="31">
        <v>140000</v>
      </c>
      <c r="AE770" s="31">
        <v>0</v>
      </c>
      <c r="AF770" s="34">
        <v>2021</v>
      </c>
      <c r="AG770" s="34">
        <v>2021</v>
      </c>
      <c r="AH770" s="35">
        <v>2021</v>
      </c>
      <c r="AT770" s="20" t="e">
        <f t="shared" si="140"/>
        <v>#N/A</v>
      </c>
      <c r="BZ770" s="71"/>
      <c r="CD770" s="20" t="e">
        <f t="shared" si="137"/>
        <v>#N/A</v>
      </c>
    </row>
    <row r="771" spans="1:82" ht="61.5" x14ac:dyDescent="0.85">
      <c r="A771" s="20">
        <v>1</v>
      </c>
      <c r="B771" s="66">
        <f>SUBTOTAL(103,$A$554:A771)</f>
        <v>215</v>
      </c>
      <c r="C771" s="24" t="s">
        <v>804</v>
      </c>
      <c r="D771" s="31">
        <f t="shared" si="141"/>
        <v>4286989.16</v>
      </c>
      <c r="E771" s="31">
        <v>0</v>
      </c>
      <c r="F771" s="31">
        <v>0</v>
      </c>
      <c r="G771" s="31">
        <v>0</v>
      </c>
      <c r="H771" s="31">
        <v>0</v>
      </c>
      <c r="I771" s="31">
        <v>0</v>
      </c>
      <c r="J771" s="31">
        <v>0</v>
      </c>
      <c r="K771" s="33">
        <v>2</v>
      </c>
      <c r="L771" s="31">
        <v>4186989.16</v>
      </c>
      <c r="M771" s="31">
        <v>0</v>
      </c>
      <c r="N771" s="31">
        <v>0</v>
      </c>
      <c r="O771" s="31">
        <v>0</v>
      </c>
      <c r="P771" s="31">
        <v>0</v>
      </c>
      <c r="Q771" s="31">
        <v>0</v>
      </c>
      <c r="R771" s="31">
        <v>0</v>
      </c>
      <c r="S771" s="31">
        <v>0</v>
      </c>
      <c r="T771" s="31">
        <v>0</v>
      </c>
      <c r="U771" s="31">
        <v>0</v>
      </c>
      <c r="V771" s="31">
        <v>0</v>
      </c>
      <c r="W771" s="31">
        <v>0</v>
      </c>
      <c r="X771" s="31">
        <v>0</v>
      </c>
      <c r="Y771" s="31">
        <v>0</v>
      </c>
      <c r="Z771" s="31">
        <v>0</v>
      </c>
      <c r="AA771" s="31">
        <v>0</v>
      </c>
      <c r="AB771" s="31">
        <v>0</v>
      </c>
      <c r="AC771" s="31">
        <v>0</v>
      </c>
      <c r="AD771" s="31">
        <v>100000</v>
      </c>
      <c r="AE771" s="31">
        <v>0</v>
      </c>
      <c r="AF771" s="34">
        <v>2021</v>
      </c>
      <c r="AG771" s="34">
        <v>2021</v>
      </c>
      <c r="AH771" s="35" t="s">
        <v>274</v>
      </c>
      <c r="AT771" s="20" t="e">
        <f t="shared" si="140"/>
        <v>#N/A</v>
      </c>
      <c r="BZ771" s="71"/>
      <c r="CD771" s="20" t="e">
        <f t="shared" si="137"/>
        <v>#N/A</v>
      </c>
    </row>
    <row r="772" spans="1:82" ht="61.5" x14ac:dyDescent="0.85">
      <c r="A772" s="20">
        <v>1</v>
      </c>
      <c r="B772" s="66">
        <f>SUBTOTAL(103,$A$554:A772)</f>
        <v>216</v>
      </c>
      <c r="C772" s="24" t="s">
        <v>805</v>
      </c>
      <c r="D772" s="31">
        <f t="shared" si="141"/>
        <v>2216554.6800000002</v>
      </c>
      <c r="E772" s="31">
        <v>0</v>
      </c>
      <c r="F772" s="31">
        <v>0</v>
      </c>
      <c r="G772" s="31">
        <v>0</v>
      </c>
      <c r="H772" s="31">
        <v>0</v>
      </c>
      <c r="I772" s="31">
        <v>0</v>
      </c>
      <c r="J772" s="31">
        <v>0</v>
      </c>
      <c r="K772" s="33">
        <v>1</v>
      </c>
      <c r="L772" s="31">
        <v>2116554.6800000002</v>
      </c>
      <c r="M772" s="31">
        <v>0</v>
      </c>
      <c r="N772" s="31">
        <v>0</v>
      </c>
      <c r="O772" s="31">
        <v>0</v>
      </c>
      <c r="P772" s="31">
        <v>0</v>
      </c>
      <c r="Q772" s="31">
        <v>0</v>
      </c>
      <c r="R772" s="31">
        <v>0</v>
      </c>
      <c r="S772" s="31">
        <v>0</v>
      </c>
      <c r="T772" s="31">
        <v>0</v>
      </c>
      <c r="U772" s="31">
        <v>0</v>
      </c>
      <c r="V772" s="31">
        <v>0</v>
      </c>
      <c r="W772" s="31">
        <v>0</v>
      </c>
      <c r="X772" s="31">
        <v>0</v>
      </c>
      <c r="Y772" s="31">
        <v>0</v>
      </c>
      <c r="Z772" s="31">
        <v>0</v>
      </c>
      <c r="AA772" s="31">
        <v>0</v>
      </c>
      <c r="AB772" s="31">
        <v>0</v>
      </c>
      <c r="AC772" s="31">
        <v>0</v>
      </c>
      <c r="AD772" s="31">
        <v>100000</v>
      </c>
      <c r="AE772" s="31">
        <v>0</v>
      </c>
      <c r="AF772" s="34">
        <v>2021</v>
      </c>
      <c r="AG772" s="34">
        <v>2021</v>
      </c>
      <c r="AH772" s="35" t="s">
        <v>274</v>
      </c>
      <c r="AT772" s="20" t="e">
        <f t="shared" si="140"/>
        <v>#N/A</v>
      </c>
      <c r="BZ772" s="71"/>
      <c r="CD772" s="20" t="e">
        <f t="shared" si="137"/>
        <v>#N/A</v>
      </c>
    </row>
    <row r="773" spans="1:82" ht="61.5" x14ac:dyDescent="0.85">
      <c r="A773" s="20">
        <v>1</v>
      </c>
      <c r="B773" s="66">
        <f>SUBTOTAL(103,$A$554:A773)</f>
        <v>217</v>
      </c>
      <c r="C773" s="24" t="s">
        <v>1654</v>
      </c>
      <c r="D773" s="31">
        <f t="shared" si="141"/>
        <v>3890000</v>
      </c>
      <c r="E773" s="31">
        <v>0</v>
      </c>
      <c r="F773" s="31">
        <v>0</v>
      </c>
      <c r="G773" s="31">
        <v>0</v>
      </c>
      <c r="H773" s="31">
        <v>0</v>
      </c>
      <c r="I773" s="31">
        <v>0</v>
      </c>
      <c r="J773" s="31">
        <v>0</v>
      </c>
      <c r="K773" s="33">
        <v>0</v>
      </c>
      <c r="L773" s="31">
        <v>0</v>
      </c>
      <c r="M773" s="31">
        <v>778</v>
      </c>
      <c r="N773" s="31">
        <v>3714285.71</v>
      </c>
      <c r="O773" s="31">
        <v>0</v>
      </c>
      <c r="P773" s="31">
        <v>0</v>
      </c>
      <c r="Q773" s="31">
        <v>0</v>
      </c>
      <c r="R773" s="31">
        <v>0</v>
      </c>
      <c r="S773" s="31">
        <v>0</v>
      </c>
      <c r="T773" s="31">
        <v>0</v>
      </c>
      <c r="U773" s="31">
        <v>0</v>
      </c>
      <c r="V773" s="31">
        <v>0</v>
      </c>
      <c r="W773" s="31">
        <v>0</v>
      </c>
      <c r="X773" s="31">
        <v>0</v>
      </c>
      <c r="Y773" s="31">
        <v>0</v>
      </c>
      <c r="Z773" s="31">
        <v>0</v>
      </c>
      <c r="AA773" s="31">
        <v>0</v>
      </c>
      <c r="AB773" s="31">
        <v>0</v>
      </c>
      <c r="AC773" s="31">
        <f>ROUND(N773*1.5%,2)</f>
        <v>55714.29</v>
      </c>
      <c r="AD773" s="31">
        <v>120000</v>
      </c>
      <c r="AE773" s="31">
        <v>0</v>
      </c>
      <c r="AF773" s="34">
        <v>2021</v>
      </c>
      <c r="AG773" s="34">
        <v>2021</v>
      </c>
      <c r="AH773" s="35">
        <v>2021</v>
      </c>
      <c r="BZ773" s="71"/>
      <c r="CD773" s="20" t="e">
        <f t="shared" si="137"/>
        <v>#N/A</v>
      </c>
    </row>
    <row r="774" spans="1:82" ht="61.5" x14ac:dyDescent="0.85">
      <c r="A774" s="20">
        <v>1</v>
      </c>
      <c r="B774" s="66">
        <f>SUBTOTAL(103,$A$554:A774)</f>
        <v>218</v>
      </c>
      <c r="C774" s="24" t="s">
        <v>807</v>
      </c>
      <c r="D774" s="31">
        <f t="shared" si="141"/>
        <v>110000</v>
      </c>
      <c r="E774" s="31">
        <v>0</v>
      </c>
      <c r="F774" s="31">
        <v>0</v>
      </c>
      <c r="G774" s="31">
        <v>0</v>
      </c>
      <c r="H774" s="31">
        <v>0</v>
      </c>
      <c r="I774" s="31">
        <v>0</v>
      </c>
      <c r="J774" s="31">
        <v>0</v>
      </c>
      <c r="K774" s="33">
        <v>0</v>
      </c>
      <c r="L774" s="31">
        <v>0</v>
      </c>
      <c r="M774" s="31">
        <v>0</v>
      </c>
      <c r="N774" s="31">
        <v>0</v>
      </c>
      <c r="O774" s="31">
        <v>0</v>
      </c>
      <c r="P774" s="31">
        <v>0</v>
      </c>
      <c r="Q774" s="31">
        <v>0</v>
      </c>
      <c r="R774" s="31">
        <v>0</v>
      </c>
      <c r="S774" s="31">
        <v>0</v>
      </c>
      <c r="T774" s="31">
        <v>0</v>
      </c>
      <c r="U774" s="31">
        <v>0</v>
      </c>
      <c r="V774" s="31">
        <v>0</v>
      </c>
      <c r="W774" s="31">
        <v>0</v>
      </c>
      <c r="X774" s="31">
        <v>0</v>
      </c>
      <c r="Y774" s="31">
        <v>0</v>
      </c>
      <c r="Z774" s="31">
        <v>0</v>
      </c>
      <c r="AA774" s="31">
        <v>0</v>
      </c>
      <c r="AB774" s="31">
        <v>0</v>
      </c>
      <c r="AC774" s="31">
        <v>0</v>
      </c>
      <c r="AD774" s="31">
        <v>110000</v>
      </c>
      <c r="AE774" s="31">
        <v>0</v>
      </c>
      <c r="AF774" s="34">
        <v>2021</v>
      </c>
      <c r="AG774" s="34" t="s">
        <v>274</v>
      </c>
      <c r="AH774" s="35" t="s">
        <v>274</v>
      </c>
      <c r="BZ774" s="71"/>
      <c r="CD774" s="20" t="e">
        <f t="shared" si="137"/>
        <v>#N/A</v>
      </c>
    </row>
    <row r="775" spans="1:82" ht="61.5" x14ac:dyDescent="0.85">
      <c r="A775" s="20">
        <v>1</v>
      </c>
      <c r="B775" s="66">
        <f>SUBTOTAL(103,$A$554:A775)</f>
        <v>219</v>
      </c>
      <c r="C775" s="24" t="s">
        <v>808</v>
      </c>
      <c r="D775" s="31">
        <f t="shared" si="141"/>
        <v>110000</v>
      </c>
      <c r="E775" s="31">
        <v>0</v>
      </c>
      <c r="F775" s="31">
        <v>0</v>
      </c>
      <c r="G775" s="31">
        <v>0</v>
      </c>
      <c r="H775" s="31">
        <v>0</v>
      </c>
      <c r="I775" s="31">
        <v>0</v>
      </c>
      <c r="J775" s="31">
        <v>0</v>
      </c>
      <c r="K775" s="33">
        <v>0</v>
      </c>
      <c r="L775" s="31">
        <v>0</v>
      </c>
      <c r="M775" s="31">
        <v>0</v>
      </c>
      <c r="N775" s="31">
        <v>0</v>
      </c>
      <c r="O775" s="31">
        <v>0</v>
      </c>
      <c r="P775" s="31">
        <v>0</v>
      </c>
      <c r="Q775" s="31">
        <v>0</v>
      </c>
      <c r="R775" s="31">
        <v>0</v>
      </c>
      <c r="S775" s="31">
        <v>0</v>
      </c>
      <c r="T775" s="31">
        <v>0</v>
      </c>
      <c r="U775" s="31">
        <v>0</v>
      </c>
      <c r="V775" s="31">
        <v>0</v>
      </c>
      <c r="W775" s="31">
        <v>0</v>
      </c>
      <c r="X775" s="31">
        <v>0</v>
      </c>
      <c r="Y775" s="31">
        <v>0</v>
      </c>
      <c r="Z775" s="31">
        <v>0</v>
      </c>
      <c r="AA775" s="31">
        <v>0</v>
      </c>
      <c r="AB775" s="31">
        <v>0</v>
      </c>
      <c r="AC775" s="31">
        <v>0</v>
      </c>
      <c r="AD775" s="31">
        <v>110000</v>
      </c>
      <c r="AE775" s="31">
        <v>0</v>
      </c>
      <c r="AF775" s="34">
        <v>2021</v>
      </c>
      <c r="AG775" s="34" t="s">
        <v>274</v>
      </c>
      <c r="AH775" s="35" t="s">
        <v>274</v>
      </c>
      <c r="BZ775" s="71"/>
      <c r="CD775" s="20" t="e">
        <f t="shared" si="137"/>
        <v>#N/A</v>
      </c>
    </row>
    <row r="776" spans="1:82" ht="61.5" x14ac:dyDescent="0.85">
      <c r="A776" s="20">
        <v>1</v>
      </c>
      <c r="B776" s="66">
        <f>SUBTOTAL(103,$A$554:A776)</f>
        <v>220</v>
      </c>
      <c r="C776" s="24" t="s">
        <v>1106</v>
      </c>
      <c r="D776" s="31">
        <f t="shared" si="141"/>
        <v>110000</v>
      </c>
      <c r="E776" s="31">
        <v>0</v>
      </c>
      <c r="F776" s="31">
        <v>0</v>
      </c>
      <c r="G776" s="31">
        <v>0</v>
      </c>
      <c r="H776" s="31">
        <v>0</v>
      </c>
      <c r="I776" s="31">
        <v>0</v>
      </c>
      <c r="J776" s="31">
        <v>0</v>
      </c>
      <c r="K776" s="33">
        <v>0</v>
      </c>
      <c r="L776" s="31">
        <v>0</v>
      </c>
      <c r="M776" s="31">
        <v>0</v>
      </c>
      <c r="N776" s="31">
        <v>0</v>
      </c>
      <c r="O776" s="31">
        <v>0</v>
      </c>
      <c r="P776" s="31">
        <v>0</v>
      </c>
      <c r="Q776" s="31">
        <v>0</v>
      </c>
      <c r="R776" s="31">
        <v>0</v>
      </c>
      <c r="S776" s="31">
        <v>0</v>
      </c>
      <c r="T776" s="31">
        <v>0</v>
      </c>
      <c r="U776" s="31">
        <v>0</v>
      </c>
      <c r="V776" s="31">
        <v>0</v>
      </c>
      <c r="W776" s="31">
        <v>0</v>
      </c>
      <c r="X776" s="31">
        <v>0</v>
      </c>
      <c r="Y776" s="31">
        <v>0</v>
      </c>
      <c r="Z776" s="31">
        <v>0</v>
      </c>
      <c r="AA776" s="31">
        <v>0</v>
      </c>
      <c r="AB776" s="31">
        <v>0</v>
      </c>
      <c r="AC776" s="31">
        <v>0</v>
      </c>
      <c r="AD776" s="31">
        <v>110000</v>
      </c>
      <c r="AE776" s="31">
        <v>0</v>
      </c>
      <c r="AF776" s="34">
        <v>2021</v>
      </c>
      <c r="AG776" s="34" t="s">
        <v>274</v>
      </c>
      <c r="AH776" s="35" t="s">
        <v>274</v>
      </c>
      <c r="BZ776" s="71"/>
      <c r="CD776" s="20" t="e">
        <f t="shared" si="137"/>
        <v>#N/A</v>
      </c>
    </row>
    <row r="777" spans="1:82" ht="61.5" x14ac:dyDescent="0.85">
      <c r="A777" s="20">
        <v>1</v>
      </c>
      <c r="B777" s="66">
        <f>SUBTOTAL(103,$A$554:A777)</f>
        <v>221</v>
      </c>
      <c r="C777" s="24" t="s">
        <v>810</v>
      </c>
      <c r="D777" s="31">
        <f t="shared" si="141"/>
        <v>120000</v>
      </c>
      <c r="E777" s="31">
        <v>0</v>
      </c>
      <c r="F777" s="31">
        <v>0</v>
      </c>
      <c r="G777" s="31">
        <v>0</v>
      </c>
      <c r="H777" s="31">
        <v>0</v>
      </c>
      <c r="I777" s="31">
        <v>0</v>
      </c>
      <c r="J777" s="31">
        <v>0</v>
      </c>
      <c r="K777" s="33">
        <v>0</v>
      </c>
      <c r="L777" s="31">
        <v>0</v>
      </c>
      <c r="M777" s="31">
        <v>0</v>
      </c>
      <c r="N777" s="31">
        <v>0</v>
      </c>
      <c r="O777" s="31">
        <v>0</v>
      </c>
      <c r="P777" s="31">
        <v>0</v>
      </c>
      <c r="Q777" s="31">
        <v>0</v>
      </c>
      <c r="R777" s="31">
        <v>0</v>
      </c>
      <c r="S777" s="31">
        <v>0</v>
      </c>
      <c r="T777" s="31">
        <v>0</v>
      </c>
      <c r="U777" s="31">
        <v>0</v>
      </c>
      <c r="V777" s="31">
        <v>0</v>
      </c>
      <c r="W777" s="31">
        <v>0</v>
      </c>
      <c r="X777" s="31">
        <v>0</v>
      </c>
      <c r="Y777" s="31">
        <v>0</v>
      </c>
      <c r="Z777" s="31">
        <v>0</v>
      </c>
      <c r="AA777" s="31">
        <v>0</v>
      </c>
      <c r="AB777" s="31">
        <v>0</v>
      </c>
      <c r="AC777" s="31">
        <v>0</v>
      </c>
      <c r="AD777" s="31">
        <v>120000</v>
      </c>
      <c r="AE777" s="31">
        <v>0</v>
      </c>
      <c r="AF777" s="34">
        <v>2021</v>
      </c>
      <c r="AG777" s="34" t="s">
        <v>274</v>
      </c>
      <c r="AH777" s="35" t="s">
        <v>274</v>
      </c>
      <c r="BZ777" s="71"/>
      <c r="CD777" s="20" t="e">
        <f t="shared" si="137"/>
        <v>#N/A</v>
      </c>
    </row>
    <row r="778" spans="1:82" ht="61.5" x14ac:dyDescent="0.85">
      <c r="A778" s="20">
        <v>1</v>
      </c>
      <c r="B778" s="66">
        <f>SUBTOTAL(103,$A$554:A778)</f>
        <v>222</v>
      </c>
      <c r="C778" s="24" t="s">
        <v>812</v>
      </c>
      <c r="D778" s="31">
        <f t="shared" si="141"/>
        <v>140000</v>
      </c>
      <c r="E778" s="31">
        <v>0</v>
      </c>
      <c r="F778" s="31">
        <v>0</v>
      </c>
      <c r="G778" s="31">
        <v>0</v>
      </c>
      <c r="H778" s="31">
        <v>0</v>
      </c>
      <c r="I778" s="31">
        <v>0</v>
      </c>
      <c r="J778" s="31">
        <v>0</v>
      </c>
      <c r="K778" s="33">
        <v>0</v>
      </c>
      <c r="L778" s="31">
        <v>0</v>
      </c>
      <c r="M778" s="31">
        <v>0</v>
      </c>
      <c r="N778" s="31">
        <v>0</v>
      </c>
      <c r="O778" s="31">
        <v>0</v>
      </c>
      <c r="P778" s="31">
        <v>0</v>
      </c>
      <c r="Q778" s="31">
        <v>0</v>
      </c>
      <c r="R778" s="31">
        <v>0</v>
      </c>
      <c r="S778" s="31">
        <v>0</v>
      </c>
      <c r="T778" s="31">
        <v>0</v>
      </c>
      <c r="U778" s="31">
        <v>0</v>
      </c>
      <c r="V778" s="31">
        <v>0</v>
      </c>
      <c r="W778" s="31">
        <v>0</v>
      </c>
      <c r="X778" s="31">
        <v>0</v>
      </c>
      <c r="Y778" s="31">
        <v>0</v>
      </c>
      <c r="Z778" s="31">
        <v>0</v>
      </c>
      <c r="AA778" s="31">
        <v>0</v>
      </c>
      <c r="AB778" s="31">
        <v>0</v>
      </c>
      <c r="AC778" s="31">
        <v>0</v>
      </c>
      <c r="AD778" s="31">
        <v>140000</v>
      </c>
      <c r="AE778" s="31">
        <v>0</v>
      </c>
      <c r="AF778" s="34">
        <v>2021</v>
      </c>
      <c r="AG778" s="34" t="s">
        <v>274</v>
      </c>
      <c r="AH778" s="35" t="s">
        <v>274</v>
      </c>
      <c r="BZ778" s="71"/>
      <c r="CD778" s="20" t="e">
        <f t="shared" si="137"/>
        <v>#N/A</v>
      </c>
    </row>
    <row r="779" spans="1:82" ht="61.5" x14ac:dyDescent="0.85">
      <c r="A779" s="20">
        <v>1</v>
      </c>
      <c r="B779" s="66">
        <f>SUBTOTAL(103,$A$554:A779)</f>
        <v>223</v>
      </c>
      <c r="C779" s="24" t="s">
        <v>813</v>
      </c>
      <c r="D779" s="31">
        <f t="shared" si="141"/>
        <v>110000</v>
      </c>
      <c r="E779" s="31">
        <v>0</v>
      </c>
      <c r="F779" s="31">
        <v>0</v>
      </c>
      <c r="G779" s="31">
        <v>0</v>
      </c>
      <c r="H779" s="31">
        <v>0</v>
      </c>
      <c r="I779" s="31">
        <v>0</v>
      </c>
      <c r="J779" s="31">
        <v>0</v>
      </c>
      <c r="K779" s="33">
        <v>0</v>
      </c>
      <c r="L779" s="31">
        <v>0</v>
      </c>
      <c r="M779" s="31">
        <v>0</v>
      </c>
      <c r="N779" s="31">
        <v>0</v>
      </c>
      <c r="O779" s="31">
        <v>0</v>
      </c>
      <c r="P779" s="31">
        <v>0</v>
      </c>
      <c r="Q779" s="31">
        <v>0</v>
      </c>
      <c r="R779" s="31">
        <v>0</v>
      </c>
      <c r="S779" s="31">
        <v>0</v>
      </c>
      <c r="T779" s="31">
        <v>0</v>
      </c>
      <c r="U779" s="31">
        <v>0</v>
      </c>
      <c r="V779" s="31">
        <v>0</v>
      </c>
      <c r="W779" s="31">
        <v>0</v>
      </c>
      <c r="X779" s="31">
        <v>0</v>
      </c>
      <c r="Y779" s="31">
        <v>0</v>
      </c>
      <c r="Z779" s="31">
        <v>0</v>
      </c>
      <c r="AA779" s="31">
        <v>0</v>
      </c>
      <c r="AB779" s="31">
        <v>0</v>
      </c>
      <c r="AC779" s="31">
        <v>0</v>
      </c>
      <c r="AD779" s="31">
        <v>110000</v>
      </c>
      <c r="AE779" s="31">
        <v>0</v>
      </c>
      <c r="AF779" s="34">
        <v>2021</v>
      </c>
      <c r="AG779" s="34" t="s">
        <v>274</v>
      </c>
      <c r="AH779" s="35" t="s">
        <v>274</v>
      </c>
      <c r="BZ779" s="71"/>
      <c r="CD779" s="20" t="e">
        <f t="shared" si="137"/>
        <v>#N/A</v>
      </c>
    </row>
    <row r="780" spans="1:82" ht="61.5" x14ac:dyDescent="0.85">
      <c r="A780" s="20">
        <v>1</v>
      </c>
      <c r="B780" s="66">
        <f>SUBTOTAL(103,$A$554:A780)</f>
        <v>224</v>
      </c>
      <c r="C780" s="24" t="s">
        <v>814</v>
      </c>
      <c r="D780" s="31">
        <f t="shared" si="141"/>
        <v>110000</v>
      </c>
      <c r="E780" s="31">
        <v>0</v>
      </c>
      <c r="F780" s="31">
        <v>0</v>
      </c>
      <c r="G780" s="31">
        <v>0</v>
      </c>
      <c r="H780" s="31">
        <v>0</v>
      </c>
      <c r="I780" s="31">
        <v>0</v>
      </c>
      <c r="J780" s="31">
        <v>0</v>
      </c>
      <c r="K780" s="33">
        <v>0</v>
      </c>
      <c r="L780" s="31">
        <v>0</v>
      </c>
      <c r="M780" s="31">
        <v>0</v>
      </c>
      <c r="N780" s="31">
        <v>0</v>
      </c>
      <c r="O780" s="31">
        <v>0</v>
      </c>
      <c r="P780" s="31">
        <v>0</v>
      </c>
      <c r="Q780" s="31">
        <v>0</v>
      </c>
      <c r="R780" s="31">
        <v>0</v>
      </c>
      <c r="S780" s="31">
        <v>0</v>
      </c>
      <c r="T780" s="31">
        <v>0</v>
      </c>
      <c r="U780" s="31">
        <v>0</v>
      </c>
      <c r="V780" s="31">
        <v>0</v>
      </c>
      <c r="W780" s="31">
        <v>0</v>
      </c>
      <c r="X780" s="31">
        <v>0</v>
      </c>
      <c r="Y780" s="31">
        <v>0</v>
      </c>
      <c r="Z780" s="31">
        <v>0</v>
      </c>
      <c r="AA780" s="31">
        <v>0</v>
      </c>
      <c r="AB780" s="31">
        <v>0</v>
      </c>
      <c r="AC780" s="31">
        <v>0</v>
      </c>
      <c r="AD780" s="31">
        <v>110000</v>
      </c>
      <c r="AE780" s="31">
        <v>0</v>
      </c>
      <c r="AF780" s="34">
        <v>2021</v>
      </c>
      <c r="AG780" s="34" t="s">
        <v>274</v>
      </c>
      <c r="AH780" s="35" t="s">
        <v>274</v>
      </c>
      <c r="BZ780" s="71"/>
      <c r="CD780" s="20" t="e">
        <f t="shared" si="137"/>
        <v>#N/A</v>
      </c>
    </row>
    <row r="781" spans="1:82" ht="61.5" x14ac:dyDescent="0.85">
      <c r="A781" s="20">
        <v>1</v>
      </c>
      <c r="B781" s="66">
        <f>SUBTOTAL(103,$A$554:A781)</f>
        <v>225</v>
      </c>
      <c r="C781" s="24" t="s">
        <v>815</v>
      </c>
      <c r="D781" s="31">
        <f t="shared" si="141"/>
        <v>130000</v>
      </c>
      <c r="E781" s="31">
        <v>0</v>
      </c>
      <c r="F781" s="31">
        <v>0</v>
      </c>
      <c r="G781" s="31">
        <v>0</v>
      </c>
      <c r="H781" s="31">
        <v>0</v>
      </c>
      <c r="I781" s="31">
        <v>0</v>
      </c>
      <c r="J781" s="31">
        <v>0</v>
      </c>
      <c r="K781" s="33">
        <v>0</v>
      </c>
      <c r="L781" s="31">
        <v>0</v>
      </c>
      <c r="M781" s="31">
        <v>0</v>
      </c>
      <c r="N781" s="31">
        <v>0</v>
      </c>
      <c r="O781" s="31">
        <v>0</v>
      </c>
      <c r="P781" s="31">
        <v>0</v>
      </c>
      <c r="Q781" s="31">
        <v>0</v>
      </c>
      <c r="R781" s="31">
        <v>0</v>
      </c>
      <c r="S781" s="31">
        <v>0</v>
      </c>
      <c r="T781" s="31">
        <v>0</v>
      </c>
      <c r="U781" s="31">
        <v>0</v>
      </c>
      <c r="V781" s="31">
        <v>0</v>
      </c>
      <c r="W781" s="31">
        <v>0</v>
      </c>
      <c r="X781" s="31">
        <v>0</v>
      </c>
      <c r="Y781" s="31">
        <v>0</v>
      </c>
      <c r="Z781" s="31">
        <v>0</v>
      </c>
      <c r="AA781" s="31">
        <v>0</v>
      </c>
      <c r="AB781" s="31">
        <v>0</v>
      </c>
      <c r="AC781" s="31">
        <v>0</v>
      </c>
      <c r="AD781" s="31">
        <v>130000</v>
      </c>
      <c r="AE781" s="31">
        <v>0</v>
      </c>
      <c r="AF781" s="34">
        <v>2021</v>
      </c>
      <c r="AG781" s="34" t="s">
        <v>274</v>
      </c>
      <c r="AH781" s="35" t="s">
        <v>274</v>
      </c>
      <c r="BZ781" s="71"/>
      <c r="CD781" s="20" t="e">
        <f t="shared" si="137"/>
        <v>#N/A</v>
      </c>
    </row>
    <row r="782" spans="1:82" ht="61.5" x14ac:dyDescent="0.85">
      <c r="A782" s="20">
        <v>1</v>
      </c>
      <c r="B782" s="66">
        <f>SUBTOTAL(103,$A$554:A782)</f>
        <v>226</v>
      </c>
      <c r="C782" s="24" t="s">
        <v>816</v>
      </c>
      <c r="D782" s="31">
        <f t="shared" si="141"/>
        <v>200000</v>
      </c>
      <c r="E782" s="31">
        <v>0</v>
      </c>
      <c r="F782" s="31">
        <v>0</v>
      </c>
      <c r="G782" s="31">
        <v>0</v>
      </c>
      <c r="H782" s="31">
        <v>0</v>
      </c>
      <c r="I782" s="31">
        <v>0</v>
      </c>
      <c r="J782" s="31">
        <v>0</v>
      </c>
      <c r="K782" s="33">
        <v>0</v>
      </c>
      <c r="L782" s="31">
        <v>0</v>
      </c>
      <c r="M782" s="31">
        <v>0</v>
      </c>
      <c r="N782" s="31">
        <v>0</v>
      </c>
      <c r="O782" s="31">
        <v>0</v>
      </c>
      <c r="P782" s="31">
        <v>0</v>
      </c>
      <c r="Q782" s="31">
        <v>0</v>
      </c>
      <c r="R782" s="31">
        <v>0</v>
      </c>
      <c r="S782" s="31">
        <v>0</v>
      </c>
      <c r="T782" s="31">
        <v>0</v>
      </c>
      <c r="U782" s="31">
        <v>0</v>
      </c>
      <c r="V782" s="31">
        <v>0</v>
      </c>
      <c r="W782" s="31">
        <v>0</v>
      </c>
      <c r="X782" s="31">
        <v>0</v>
      </c>
      <c r="Y782" s="31">
        <v>0</v>
      </c>
      <c r="Z782" s="31">
        <v>0</v>
      </c>
      <c r="AA782" s="31">
        <v>0</v>
      </c>
      <c r="AB782" s="31">
        <v>0</v>
      </c>
      <c r="AC782" s="31">
        <v>0</v>
      </c>
      <c r="AD782" s="31">
        <v>200000</v>
      </c>
      <c r="AE782" s="31">
        <v>0</v>
      </c>
      <c r="AF782" s="34">
        <v>2021</v>
      </c>
      <c r="AG782" s="34" t="s">
        <v>274</v>
      </c>
      <c r="AH782" s="35" t="s">
        <v>274</v>
      </c>
      <c r="BZ782" s="71"/>
      <c r="CD782" s="20" t="e">
        <f t="shared" si="137"/>
        <v>#N/A</v>
      </c>
    </row>
    <row r="783" spans="1:82" ht="61.5" x14ac:dyDescent="0.85">
      <c r="A783" s="20">
        <v>1</v>
      </c>
      <c r="B783" s="66">
        <f>SUBTOTAL(103,$A$554:A783)</f>
        <v>227</v>
      </c>
      <c r="C783" s="24" t="s">
        <v>838</v>
      </c>
      <c r="D783" s="31">
        <f t="shared" si="141"/>
        <v>80000</v>
      </c>
      <c r="E783" s="31">
        <v>0</v>
      </c>
      <c r="F783" s="31">
        <v>0</v>
      </c>
      <c r="G783" s="31">
        <v>0</v>
      </c>
      <c r="H783" s="31">
        <v>0</v>
      </c>
      <c r="I783" s="31">
        <v>0</v>
      </c>
      <c r="J783" s="31">
        <v>0</v>
      </c>
      <c r="K783" s="33">
        <v>0</v>
      </c>
      <c r="L783" s="31">
        <v>0</v>
      </c>
      <c r="M783" s="31">
        <v>0</v>
      </c>
      <c r="N783" s="31">
        <v>0</v>
      </c>
      <c r="O783" s="31">
        <v>0</v>
      </c>
      <c r="P783" s="31">
        <v>0</v>
      </c>
      <c r="Q783" s="31">
        <v>0</v>
      </c>
      <c r="R783" s="31">
        <v>0</v>
      </c>
      <c r="S783" s="31">
        <v>0</v>
      </c>
      <c r="T783" s="31">
        <v>0</v>
      </c>
      <c r="U783" s="31">
        <v>0</v>
      </c>
      <c r="V783" s="31">
        <v>0</v>
      </c>
      <c r="W783" s="31">
        <v>0</v>
      </c>
      <c r="X783" s="31">
        <v>0</v>
      </c>
      <c r="Y783" s="31">
        <v>0</v>
      </c>
      <c r="Z783" s="31">
        <v>0</v>
      </c>
      <c r="AA783" s="31">
        <v>0</v>
      </c>
      <c r="AB783" s="31">
        <v>0</v>
      </c>
      <c r="AC783" s="31">
        <v>0</v>
      </c>
      <c r="AD783" s="31">
        <v>80000</v>
      </c>
      <c r="AE783" s="31">
        <v>0</v>
      </c>
      <c r="AF783" s="34">
        <v>2021</v>
      </c>
      <c r="AG783" s="34" t="s">
        <v>274</v>
      </c>
      <c r="AH783" s="35" t="s">
        <v>274</v>
      </c>
      <c r="BZ783" s="71"/>
      <c r="CD783" s="20" t="e">
        <f t="shared" si="137"/>
        <v>#N/A</v>
      </c>
    </row>
    <row r="784" spans="1:82" ht="61.5" x14ac:dyDescent="0.85">
      <c r="A784" s="20">
        <v>1</v>
      </c>
      <c r="B784" s="66">
        <f>SUBTOTAL(103,$A$554:A784)</f>
        <v>228</v>
      </c>
      <c r="C784" s="24" t="s">
        <v>1655</v>
      </c>
      <c r="D784" s="31">
        <f t="shared" si="141"/>
        <v>100000</v>
      </c>
      <c r="E784" s="31">
        <v>0</v>
      </c>
      <c r="F784" s="31">
        <v>0</v>
      </c>
      <c r="G784" s="31">
        <v>0</v>
      </c>
      <c r="H784" s="31">
        <v>0</v>
      </c>
      <c r="I784" s="31">
        <v>0</v>
      </c>
      <c r="J784" s="31">
        <v>0</v>
      </c>
      <c r="K784" s="33">
        <v>0</v>
      </c>
      <c r="L784" s="31">
        <v>0</v>
      </c>
      <c r="M784" s="31">
        <v>0</v>
      </c>
      <c r="N784" s="31">
        <v>0</v>
      </c>
      <c r="O784" s="31">
        <v>0</v>
      </c>
      <c r="P784" s="31">
        <v>0</v>
      </c>
      <c r="Q784" s="31">
        <v>0</v>
      </c>
      <c r="R784" s="31">
        <v>0</v>
      </c>
      <c r="S784" s="31">
        <v>0</v>
      </c>
      <c r="T784" s="31">
        <v>0</v>
      </c>
      <c r="U784" s="31">
        <v>0</v>
      </c>
      <c r="V784" s="31">
        <v>0</v>
      </c>
      <c r="W784" s="31">
        <v>0</v>
      </c>
      <c r="X784" s="31">
        <v>0</v>
      </c>
      <c r="Y784" s="31">
        <v>0</v>
      </c>
      <c r="Z784" s="31">
        <v>0</v>
      </c>
      <c r="AA784" s="31">
        <v>0</v>
      </c>
      <c r="AB784" s="31">
        <v>0</v>
      </c>
      <c r="AC784" s="31">
        <v>0</v>
      </c>
      <c r="AD784" s="31">
        <v>100000</v>
      </c>
      <c r="AE784" s="31">
        <v>0</v>
      </c>
      <c r="AF784" s="34">
        <v>2021</v>
      </c>
      <c r="AG784" s="34" t="s">
        <v>274</v>
      </c>
      <c r="AH784" s="35" t="s">
        <v>274</v>
      </c>
      <c r="BZ784" s="71"/>
      <c r="CD784" s="20" t="e">
        <f t="shared" si="137"/>
        <v>#N/A</v>
      </c>
    </row>
    <row r="785" spans="1:82" ht="61.5" x14ac:dyDescent="0.85">
      <c r="B785" s="24" t="s">
        <v>783</v>
      </c>
      <c r="C785" s="166"/>
      <c r="D785" s="31">
        <f t="shared" ref="D785:AE785" si="142">SUM(D786:D788)</f>
        <v>21856214.649999999</v>
      </c>
      <c r="E785" s="31">
        <f t="shared" si="142"/>
        <v>601798.30000000005</v>
      </c>
      <c r="F785" s="31">
        <f t="shared" si="142"/>
        <v>1360064.57</v>
      </c>
      <c r="G785" s="31">
        <f t="shared" si="142"/>
        <v>2159210.9500000002</v>
      </c>
      <c r="H785" s="31">
        <f t="shared" si="142"/>
        <v>1072260.3</v>
      </c>
      <c r="I785" s="31">
        <f t="shared" si="142"/>
        <v>1605699.19</v>
      </c>
      <c r="J785" s="31">
        <f t="shared" si="142"/>
        <v>0</v>
      </c>
      <c r="K785" s="33">
        <f t="shared" si="142"/>
        <v>4</v>
      </c>
      <c r="L785" s="31">
        <f t="shared" si="142"/>
        <v>8873212</v>
      </c>
      <c r="M785" s="31">
        <f t="shared" si="142"/>
        <v>0</v>
      </c>
      <c r="N785" s="31">
        <f t="shared" si="142"/>
        <v>0</v>
      </c>
      <c r="O785" s="31">
        <f t="shared" si="142"/>
        <v>0</v>
      </c>
      <c r="P785" s="31">
        <f t="shared" si="142"/>
        <v>0</v>
      </c>
      <c r="Q785" s="31">
        <f t="shared" si="142"/>
        <v>2476.9</v>
      </c>
      <c r="R785" s="31">
        <f t="shared" si="142"/>
        <v>5381264.8700000001</v>
      </c>
      <c r="S785" s="31">
        <f t="shared" si="142"/>
        <v>0</v>
      </c>
      <c r="T785" s="31">
        <f t="shared" si="142"/>
        <v>0</v>
      </c>
      <c r="U785" s="31">
        <f t="shared" si="142"/>
        <v>0</v>
      </c>
      <c r="V785" s="31">
        <f t="shared" si="142"/>
        <v>0</v>
      </c>
      <c r="W785" s="31">
        <f t="shared" si="142"/>
        <v>0</v>
      </c>
      <c r="X785" s="31">
        <f t="shared" si="142"/>
        <v>0</v>
      </c>
      <c r="Y785" s="31">
        <f t="shared" si="142"/>
        <v>0</v>
      </c>
      <c r="Z785" s="31">
        <f t="shared" si="142"/>
        <v>0</v>
      </c>
      <c r="AA785" s="31">
        <f t="shared" si="142"/>
        <v>0</v>
      </c>
      <c r="AB785" s="31">
        <f t="shared" si="142"/>
        <v>0</v>
      </c>
      <c r="AC785" s="31">
        <f t="shared" si="142"/>
        <v>182704.47</v>
      </c>
      <c r="AD785" s="31">
        <f t="shared" si="142"/>
        <v>620000</v>
      </c>
      <c r="AE785" s="31">
        <f t="shared" si="142"/>
        <v>0</v>
      </c>
      <c r="AF785" s="72" t="s">
        <v>776</v>
      </c>
      <c r="AG785" s="72" t="s">
        <v>776</v>
      </c>
      <c r="AH785" s="89" t="s">
        <v>776</v>
      </c>
      <c r="AT785" s="20" t="e">
        <f t="shared" ref="AT785:AT801" si="143">VLOOKUP(C785,AW:AX,2,FALSE)</f>
        <v>#N/A</v>
      </c>
      <c r="BZ785" s="71">
        <v>21856214.649999999</v>
      </c>
      <c r="CB785" s="71">
        <f>BZ785-D785</f>
        <v>0</v>
      </c>
      <c r="CD785" s="20" t="e">
        <f t="shared" si="137"/>
        <v>#N/A</v>
      </c>
    </row>
    <row r="786" spans="1:82" ht="61.5" x14ac:dyDescent="0.85">
      <c r="A786" s="20">
        <v>1</v>
      </c>
      <c r="B786" s="66">
        <f>SUBTOTAL(103,$A$554:A786)</f>
        <v>229</v>
      </c>
      <c r="C786" s="24" t="s">
        <v>392</v>
      </c>
      <c r="D786" s="31">
        <f>E786+F786+G786+H786+I786+J786+L786+N786+P786+R786+T786+U786+V786+W786+X786+Y786+Z786+AA786+AB786+AC786+AD786+AE786</f>
        <v>8993212</v>
      </c>
      <c r="E786" s="31">
        <v>0</v>
      </c>
      <c r="F786" s="31">
        <v>0</v>
      </c>
      <c r="G786" s="31">
        <v>0</v>
      </c>
      <c r="H786" s="31">
        <v>0</v>
      </c>
      <c r="I786" s="31">
        <v>0</v>
      </c>
      <c r="J786" s="31">
        <v>0</v>
      </c>
      <c r="K786" s="33">
        <v>4</v>
      </c>
      <c r="L786" s="31">
        <v>8873212</v>
      </c>
      <c r="M786" s="31">
        <v>0</v>
      </c>
      <c r="N786" s="31">
        <v>0</v>
      </c>
      <c r="O786" s="31">
        <v>0</v>
      </c>
      <c r="P786" s="31">
        <v>0</v>
      </c>
      <c r="Q786" s="31">
        <v>0</v>
      </c>
      <c r="R786" s="31">
        <v>0</v>
      </c>
      <c r="S786" s="31">
        <v>0</v>
      </c>
      <c r="T786" s="31">
        <v>0</v>
      </c>
      <c r="U786" s="31">
        <v>0</v>
      </c>
      <c r="V786" s="31">
        <v>0</v>
      </c>
      <c r="W786" s="31">
        <v>0</v>
      </c>
      <c r="X786" s="31">
        <v>0</v>
      </c>
      <c r="Y786" s="31">
        <v>0</v>
      </c>
      <c r="Z786" s="31">
        <v>0</v>
      </c>
      <c r="AA786" s="31">
        <v>0</v>
      </c>
      <c r="AB786" s="31">
        <v>0</v>
      </c>
      <c r="AC786" s="31">
        <v>0</v>
      </c>
      <c r="AD786" s="31">
        <v>120000</v>
      </c>
      <c r="AE786" s="31">
        <v>0</v>
      </c>
      <c r="AF786" s="34">
        <v>2021</v>
      </c>
      <c r="AG786" s="34">
        <v>2021</v>
      </c>
      <c r="AH786" s="35" t="s">
        <v>274</v>
      </c>
      <c r="AT786" s="20" t="e">
        <f t="shared" si="143"/>
        <v>#N/A</v>
      </c>
      <c r="BZ786" s="71"/>
      <c r="CD786" s="20" t="e">
        <f t="shared" si="137"/>
        <v>#N/A</v>
      </c>
    </row>
    <row r="787" spans="1:82" ht="61.5" x14ac:dyDescent="0.85">
      <c r="A787" s="20">
        <v>1</v>
      </c>
      <c r="B787" s="66">
        <f>SUBTOTAL(103,$A$554:A787)</f>
        <v>230</v>
      </c>
      <c r="C787" s="24" t="s">
        <v>1708</v>
      </c>
      <c r="D787" s="31">
        <f>E787+F787+G787+H787+I787+J787+L787+N787+P787+R787+T787+U787+V787+W787+X787+Y787+Z787+AA787+AB787+AC787+AD787+AE787</f>
        <v>7201018.8100000005</v>
      </c>
      <c r="E787" s="31">
        <v>601798.30000000005</v>
      </c>
      <c r="F787" s="31">
        <v>1360064.57</v>
      </c>
      <c r="G787" s="31">
        <v>2159210.9500000002</v>
      </c>
      <c r="H787" s="31">
        <v>1072260.3</v>
      </c>
      <c r="I787" s="31">
        <v>1605699.19</v>
      </c>
      <c r="J787" s="31">
        <v>0</v>
      </c>
      <c r="K787" s="33">
        <v>0</v>
      </c>
      <c r="L787" s="31">
        <v>0</v>
      </c>
      <c r="M787" s="31">
        <v>0</v>
      </c>
      <c r="N787" s="31">
        <v>0</v>
      </c>
      <c r="O787" s="31">
        <v>0</v>
      </c>
      <c r="P787" s="31">
        <v>0</v>
      </c>
      <c r="Q787" s="31">
        <v>0</v>
      </c>
      <c r="R787" s="31">
        <v>0</v>
      </c>
      <c r="S787" s="31">
        <v>0</v>
      </c>
      <c r="T787" s="31">
        <v>0</v>
      </c>
      <c r="U787" s="31">
        <v>0</v>
      </c>
      <c r="V787" s="31">
        <v>0</v>
      </c>
      <c r="W787" s="31">
        <v>0</v>
      </c>
      <c r="X787" s="31">
        <v>0</v>
      </c>
      <c r="Y787" s="31">
        <v>0</v>
      </c>
      <c r="Z787" s="31">
        <v>0</v>
      </c>
      <c r="AA787" s="31">
        <v>0</v>
      </c>
      <c r="AB787" s="31">
        <v>0</v>
      </c>
      <c r="AC787" s="31">
        <f>ROUND((E787+F787+G787+H787+I787+J787)*1.5%,2)</f>
        <v>101985.5</v>
      </c>
      <c r="AD787" s="31">
        <v>300000</v>
      </c>
      <c r="AE787" s="31">
        <v>0</v>
      </c>
      <c r="AF787" s="34">
        <v>2021</v>
      </c>
      <c r="AG787" s="34">
        <v>2021</v>
      </c>
      <c r="AH787" s="35">
        <v>2021</v>
      </c>
      <c r="AT787" s="20" t="e">
        <f t="shared" si="143"/>
        <v>#N/A</v>
      </c>
      <c r="BZ787" s="71"/>
      <c r="CD787" s="20" t="e">
        <f t="shared" si="137"/>
        <v>#N/A</v>
      </c>
    </row>
    <row r="788" spans="1:82" ht="61.5" x14ac:dyDescent="0.85">
      <c r="A788" s="20">
        <v>1</v>
      </c>
      <c r="B788" s="66">
        <f>SUBTOTAL(103,$A$554:A788)</f>
        <v>231</v>
      </c>
      <c r="C788" s="24" t="s">
        <v>393</v>
      </c>
      <c r="D788" s="31">
        <f>E788+F788+G788+H788+I788+J788+L788+N788+P788+R788+T788+U788+V788+W788+X788+Y788+Z788+AA788+AB788+AC788+AD788+AE788</f>
        <v>5661983.8399999999</v>
      </c>
      <c r="E788" s="31">
        <v>0</v>
      </c>
      <c r="F788" s="31">
        <v>0</v>
      </c>
      <c r="G788" s="31">
        <v>0</v>
      </c>
      <c r="H788" s="31">
        <v>0</v>
      </c>
      <c r="I788" s="31">
        <v>0</v>
      </c>
      <c r="J788" s="31">
        <v>0</v>
      </c>
      <c r="K788" s="33">
        <v>0</v>
      </c>
      <c r="L788" s="31">
        <v>0</v>
      </c>
      <c r="M788" s="31">
        <v>0</v>
      </c>
      <c r="N788" s="31">
        <v>0</v>
      </c>
      <c r="O788" s="31">
        <v>0</v>
      </c>
      <c r="P788" s="31">
        <v>0</v>
      </c>
      <c r="Q788" s="31">
        <v>2476.9</v>
      </c>
      <c r="R788" s="31">
        <v>5381264.8700000001</v>
      </c>
      <c r="S788" s="31">
        <v>0</v>
      </c>
      <c r="T788" s="31">
        <v>0</v>
      </c>
      <c r="U788" s="31">
        <v>0</v>
      </c>
      <c r="V788" s="31">
        <v>0</v>
      </c>
      <c r="W788" s="31">
        <v>0</v>
      </c>
      <c r="X788" s="31">
        <v>0</v>
      </c>
      <c r="Y788" s="31">
        <v>0</v>
      </c>
      <c r="Z788" s="31">
        <v>0</v>
      </c>
      <c r="AA788" s="31">
        <v>0</v>
      </c>
      <c r="AB788" s="31">
        <v>0</v>
      </c>
      <c r="AC788" s="31">
        <f>ROUND(R788*1.5%,2)</f>
        <v>80718.97</v>
      </c>
      <c r="AD788" s="31">
        <v>200000</v>
      </c>
      <c r="AE788" s="31">
        <v>0</v>
      </c>
      <c r="AF788" s="34">
        <v>2021</v>
      </c>
      <c r="AG788" s="34">
        <v>2021</v>
      </c>
      <c r="AH788" s="35">
        <v>2021</v>
      </c>
      <c r="AT788" s="20" t="e">
        <f t="shared" si="143"/>
        <v>#N/A</v>
      </c>
      <c r="BZ788" s="71"/>
      <c r="CD788" s="20" t="e">
        <f t="shared" si="137"/>
        <v>#N/A</v>
      </c>
    </row>
    <row r="789" spans="1:82" ht="61.5" x14ac:dyDescent="0.85">
      <c r="B789" s="24" t="s">
        <v>840</v>
      </c>
      <c r="C789" s="166"/>
      <c r="D789" s="31">
        <f>SUM(D790:D806)</f>
        <v>65732746.93</v>
      </c>
      <c r="E789" s="31">
        <f t="shared" ref="E789:AE789" si="144">SUM(E790:E806)</f>
        <v>0</v>
      </c>
      <c r="F789" s="31">
        <f t="shared" si="144"/>
        <v>0</v>
      </c>
      <c r="G789" s="31">
        <f t="shared" si="144"/>
        <v>0</v>
      </c>
      <c r="H789" s="31">
        <f t="shared" si="144"/>
        <v>0</v>
      </c>
      <c r="I789" s="31">
        <f t="shared" si="144"/>
        <v>0</v>
      </c>
      <c r="J789" s="31">
        <f t="shared" si="144"/>
        <v>0</v>
      </c>
      <c r="K789" s="33">
        <f t="shared" si="144"/>
        <v>1</v>
      </c>
      <c r="L789" s="31">
        <f t="shared" si="144"/>
        <v>2148303</v>
      </c>
      <c r="M789" s="31">
        <f t="shared" si="144"/>
        <v>12432.779999999999</v>
      </c>
      <c r="N789" s="31">
        <f t="shared" si="144"/>
        <v>60290092.540000014</v>
      </c>
      <c r="O789" s="31">
        <f t="shared" si="144"/>
        <v>0</v>
      </c>
      <c r="P789" s="31">
        <f t="shared" si="144"/>
        <v>0</v>
      </c>
      <c r="Q789" s="31">
        <f t="shared" si="144"/>
        <v>0</v>
      </c>
      <c r="R789" s="31">
        <f t="shared" si="144"/>
        <v>0</v>
      </c>
      <c r="S789" s="31">
        <f t="shared" si="144"/>
        <v>0</v>
      </c>
      <c r="T789" s="31">
        <f t="shared" si="144"/>
        <v>0</v>
      </c>
      <c r="U789" s="31">
        <f t="shared" si="144"/>
        <v>0</v>
      </c>
      <c r="V789" s="31">
        <f t="shared" si="144"/>
        <v>0</v>
      </c>
      <c r="W789" s="31">
        <f t="shared" si="144"/>
        <v>0</v>
      </c>
      <c r="X789" s="31">
        <f t="shared" si="144"/>
        <v>0</v>
      </c>
      <c r="Y789" s="31">
        <f t="shared" si="144"/>
        <v>0</v>
      </c>
      <c r="Z789" s="31">
        <f t="shared" si="144"/>
        <v>0</v>
      </c>
      <c r="AA789" s="31">
        <f t="shared" si="144"/>
        <v>0</v>
      </c>
      <c r="AB789" s="31">
        <f t="shared" si="144"/>
        <v>0</v>
      </c>
      <c r="AC789" s="31">
        <f t="shared" si="144"/>
        <v>904351.39000000013</v>
      </c>
      <c r="AD789" s="31">
        <f t="shared" si="144"/>
        <v>2390000</v>
      </c>
      <c r="AE789" s="31">
        <f t="shared" si="144"/>
        <v>0</v>
      </c>
      <c r="AF789" s="72" t="s">
        <v>776</v>
      </c>
      <c r="AG789" s="72" t="s">
        <v>776</v>
      </c>
      <c r="AH789" s="89" t="s">
        <v>776</v>
      </c>
      <c r="AT789" s="20" t="e">
        <f t="shared" si="143"/>
        <v>#N/A</v>
      </c>
      <c r="BZ789" s="71">
        <v>55019080.369999997</v>
      </c>
      <c r="CB789" s="71">
        <f>BZ789-D789</f>
        <v>-10713666.560000002</v>
      </c>
      <c r="CD789" s="20" t="e">
        <f t="shared" si="137"/>
        <v>#N/A</v>
      </c>
    </row>
    <row r="790" spans="1:82" ht="61.5" x14ac:dyDescent="0.85">
      <c r="A790" s="20">
        <v>1</v>
      </c>
      <c r="B790" s="66">
        <f>SUBTOTAL(103,$A$554:A790)</f>
        <v>232</v>
      </c>
      <c r="C790" s="24" t="s">
        <v>630</v>
      </c>
      <c r="D790" s="31">
        <f t="shared" ref="D790:D801" si="145">E790+F790+G790+H790+I790+J790+L790+N790+P790+R790+T790+U790+V790+W790+X790+Y790+Z790+AA790+AB790+AC790+AD790+AE790</f>
        <v>4335833</v>
      </c>
      <c r="E790" s="36">
        <v>0</v>
      </c>
      <c r="F790" s="36">
        <v>0</v>
      </c>
      <c r="G790" s="36">
        <v>0</v>
      </c>
      <c r="H790" s="36">
        <v>0</v>
      </c>
      <c r="I790" s="36">
        <v>0</v>
      </c>
      <c r="J790" s="36">
        <v>0</v>
      </c>
      <c r="K790" s="33">
        <v>0</v>
      </c>
      <c r="L790" s="31">
        <v>0</v>
      </c>
      <c r="M790" s="31">
        <v>773</v>
      </c>
      <c r="N790" s="31">
        <v>4123973.4</v>
      </c>
      <c r="O790" s="31">
        <v>0</v>
      </c>
      <c r="P790" s="31">
        <v>0</v>
      </c>
      <c r="Q790" s="31">
        <v>0</v>
      </c>
      <c r="R790" s="31">
        <v>0</v>
      </c>
      <c r="S790" s="31">
        <v>0</v>
      </c>
      <c r="T790" s="31">
        <v>0</v>
      </c>
      <c r="U790" s="31">
        <v>0</v>
      </c>
      <c r="V790" s="31">
        <v>0</v>
      </c>
      <c r="W790" s="31">
        <v>0</v>
      </c>
      <c r="X790" s="31">
        <v>0</v>
      </c>
      <c r="Y790" s="31">
        <v>0</v>
      </c>
      <c r="Z790" s="31">
        <v>0</v>
      </c>
      <c r="AA790" s="31">
        <v>0</v>
      </c>
      <c r="AB790" s="31">
        <v>0</v>
      </c>
      <c r="AC790" s="31">
        <f t="shared" ref="AC790:AC798" si="146">ROUND(N790*1.5%,2)</f>
        <v>61859.6</v>
      </c>
      <c r="AD790" s="31">
        <v>150000</v>
      </c>
      <c r="AE790" s="31">
        <v>0</v>
      </c>
      <c r="AF790" s="34">
        <v>2021</v>
      </c>
      <c r="AG790" s="34">
        <v>2021</v>
      </c>
      <c r="AH790" s="35">
        <v>2021</v>
      </c>
      <c r="AT790" s="20" t="e">
        <f t="shared" si="143"/>
        <v>#N/A</v>
      </c>
      <c r="BZ790" s="71"/>
      <c r="CD790" s="20" t="e">
        <f t="shared" si="137"/>
        <v>#N/A</v>
      </c>
    </row>
    <row r="791" spans="1:82" ht="61.5" x14ac:dyDescent="0.85">
      <c r="A791" s="20">
        <v>1</v>
      </c>
      <c r="B791" s="66">
        <f>SUBTOTAL(103,$A$554:A791)</f>
        <v>233</v>
      </c>
      <c r="C791" s="24" t="s">
        <v>631</v>
      </c>
      <c r="D791" s="31">
        <f t="shared" si="145"/>
        <v>5909484.1499999994</v>
      </c>
      <c r="E791" s="36">
        <v>0</v>
      </c>
      <c r="F791" s="36">
        <v>0</v>
      </c>
      <c r="G791" s="36">
        <v>0</v>
      </c>
      <c r="H791" s="36">
        <v>0</v>
      </c>
      <c r="I791" s="36">
        <v>0</v>
      </c>
      <c r="J791" s="36">
        <v>0</v>
      </c>
      <c r="K791" s="33">
        <v>0</v>
      </c>
      <c r="L791" s="31">
        <v>0</v>
      </c>
      <c r="M791" s="31">
        <v>1050</v>
      </c>
      <c r="N791" s="31">
        <v>5644811.9699999997</v>
      </c>
      <c r="O791" s="31">
        <v>0</v>
      </c>
      <c r="P791" s="31">
        <v>0</v>
      </c>
      <c r="Q791" s="31">
        <v>0</v>
      </c>
      <c r="R791" s="31">
        <v>0</v>
      </c>
      <c r="S791" s="31">
        <v>0</v>
      </c>
      <c r="T791" s="31">
        <v>0</v>
      </c>
      <c r="U791" s="31">
        <v>0</v>
      </c>
      <c r="V791" s="31">
        <v>0</v>
      </c>
      <c r="W791" s="31">
        <v>0</v>
      </c>
      <c r="X791" s="31">
        <v>0</v>
      </c>
      <c r="Y791" s="31">
        <v>0</v>
      </c>
      <c r="Z791" s="31">
        <v>0</v>
      </c>
      <c r="AA791" s="31">
        <v>0</v>
      </c>
      <c r="AB791" s="31">
        <v>0</v>
      </c>
      <c r="AC791" s="31">
        <f t="shared" si="146"/>
        <v>84672.18</v>
      </c>
      <c r="AD791" s="31">
        <v>180000</v>
      </c>
      <c r="AE791" s="31">
        <v>0</v>
      </c>
      <c r="AF791" s="34">
        <v>2021</v>
      </c>
      <c r="AG791" s="34">
        <v>2021</v>
      </c>
      <c r="AH791" s="35">
        <v>2021</v>
      </c>
      <c r="AT791" s="20" t="e">
        <f t="shared" si="143"/>
        <v>#N/A</v>
      </c>
      <c r="BZ791" s="71"/>
      <c r="CD791" s="20" t="e">
        <f t="shared" ref="CD791:CD854" si="147">VLOOKUP(C791,CE:CF,2,FALSE)</f>
        <v>#N/A</v>
      </c>
    </row>
    <row r="792" spans="1:82" ht="61.5" x14ac:dyDescent="0.85">
      <c r="A792" s="20">
        <v>1</v>
      </c>
      <c r="B792" s="66">
        <f>SUBTOTAL(103,$A$554:A792)</f>
        <v>234</v>
      </c>
      <c r="C792" s="24" t="s">
        <v>632</v>
      </c>
      <c r="D792" s="31">
        <f t="shared" si="145"/>
        <v>4721220</v>
      </c>
      <c r="E792" s="36">
        <v>0</v>
      </c>
      <c r="F792" s="36">
        <v>0</v>
      </c>
      <c r="G792" s="36">
        <v>0</v>
      </c>
      <c r="H792" s="36">
        <v>0</v>
      </c>
      <c r="I792" s="36">
        <v>0</v>
      </c>
      <c r="J792" s="36">
        <v>0</v>
      </c>
      <c r="K792" s="33">
        <v>0</v>
      </c>
      <c r="L792" s="31">
        <v>0</v>
      </c>
      <c r="M792" s="31">
        <v>945</v>
      </c>
      <c r="N792" s="31">
        <v>4503665.0199999996</v>
      </c>
      <c r="O792" s="31">
        <v>0</v>
      </c>
      <c r="P792" s="31">
        <v>0</v>
      </c>
      <c r="Q792" s="31">
        <v>0</v>
      </c>
      <c r="R792" s="31">
        <v>0</v>
      </c>
      <c r="S792" s="31">
        <v>0</v>
      </c>
      <c r="T792" s="31">
        <v>0</v>
      </c>
      <c r="U792" s="31">
        <v>0</v>
      </c>
      <c r="V792" s="31">
        <v>0</v>
      </c>
      <c r="W792" s="31">
        <v>0</v>
      </c>
      <c r="X792" s="31">
        <v>0</v>
      </c>
      <c r="Y792" s="31">
        <v>0</v>
      </c>
      <c r="Z792" s="31">
        <v>0</v>
      </c>
      <c r="AA792" s="31">
        <v>0</v>
      </c>
      <c r="AB792" s="31">
        <v>0</v>
      </c>
      <c r="AC792" s="31">
        <f t="shared" si="146"/>
        <v>67554.98</v>
      </c>
      <c r="AD792" s="31">
        <v>150000</v>
      </c>
      <c r="AE792" s="31">
        <v>0</v>
      </c>
      <c r="AF792" s="34">
        <v>2021</v>
      </c>
      <c r="AG792" s="34">
        <v>2021</v>
      </c>
      <c r="AH792" s="35">
        <v>2021</v>
      </c>
      <c r="AT792" s="20" t="e">
        <f t="shared" si="143"/>
        <v>#N/A</v>
      </c>
      <c r="BZ792" s="71"/>
      <c r="CD792" s="20" t="e">
        <f t="shared" si="147"/>
        <v>#N/A</v>
      </c>
    </row>
    <row r="793" spans="1:82" ht="61.5" x14ac:dyDescent="0.85">
      <c r="A793" s="20">
        <v>1</v>
      </c>
      <c r="B793" s="66">
        <f>SUBTOTAL(103,$A$554:A793)</f>
        <v>235</v>
      </c>
      <c r="C793" s="24" t="s">
        <v>637</v>
      </c>
      <c r="D793" s="31">
        <f t="shared" si="145"/>
        <v>3393650</v>
      </c>
      <c r="E793" s="36">
        <v>0</v>
      </c>
      <c r="F793" s="36">
        <v>0</v>
      </c>
      <c r="G793" s="36">
        <v>0</v>
      </c>
      <c r="H793" s="36">
        <v>0</v>
      </c>
      <c r="I793" s="36">
        <v>0</v>
      </c>
      <c r="J793" s="36">
        <v>0</v>
      </c>
      <c r="K793" s="33">
        <v>0</v>
      </c>
      <c r="L793" s="31">
        <v>0</v>
      </c>
      <c r="M793" s="31">
        <v>650</v>
      </c>
      <c r="N793" s="31">
        <v>3195714.29</v>
      </c>
      <c r="O793" s="31">
        <v>0</v>
      </c>
      <c r="P793" s="31">
        <v>0</v>
      </c>
      <c r="Q793" s="31">
        <v>0</v>
      </c>
      <c r="R793" s="31">
        <v>0</v>
      </c>
      <c r="S793" s="31">
        <v>0</v>
      </c>
      <c r="T793" s="31">
        <v>0</v>
      </c>
      <c r="U793" s="31">
        <v>0</v>
      </c>
      <c r="V793" s="31">
        <v>0</v>
      </c>
      <c r="W793" s="31">
        <v>0</v>
      </c>
      <c r="X793" s="31">
        <v>0</v>
      </c>
      <c r="Y793" s="31">
        <v>0</v>
      </c>
      <c r="Z793" s="31">
        <v>0</v>
      </c>
      <c r="AA793" s="31">
        <v>0</v>
      </c>
      <c r="AB793" s="31">
        <v>0</v>
      </c>
      <c r="AC793" s="31">
        <f t="shared" si="146"/>
        <v>47935.71</v>
      </c>
      <c r="AD793" s="31">
        <v>150000</v>
      </c>
      <c r="AE793" s="31">
        <v>0</v>
      </c>
      <c r="AF793" s="34">
        <v>2021</v>
      </c>
      <c r="AG793" s="34">
        <v>2021</v>
      </c>
      <c r="AH793" s="35">
        <v>2021</v>
      </c>
      <c r="AT793" s="20">
        <f t="shared" si="143"/>
        <v>1</v>
      </c>
      <c r="BZ793" s="71"/>
      <c r="CD793" s="20" t="e">
        <f t="shared" si="147"/>
        <v>#N/A</v>
      </c>
    </row>
    <row r="794" spans="1:82" ht="61.5" x14ac:dyDescent="0.85">
      <c r="A794" s="20">
        <v>1</v>
      </c>
      <c r="B794" s="66">
        <f>SUBTOTAL(103,$A$554:A794)</f>
        <v>236</v>
      </c>
      <c r="C794" s="24" t="s">
        <v>638</v>
      </c>
      <c r="D794" s="31">
        <f t="shared" si="145"/>
        <v>5195840</v>
      </c>
      <c r="E794" s="36">
        <v>0</v>
      </c>
      <c r="F794" s="36">
        <v>0</v>
      </c>
      <c r="G794" s="36">
        <v>0</v>
      </c>
      <c r="H794" s="36">
        <v>0</v>
      </c>
      <c r="I794" s="36">
        <v>0</v>
      </c>
      <c r="J794" s="36">
        <v>0</v>
      </c>
      <c r="K794" s="33">
        <v>0</v>
      </c>
      <c r="L794" s="31">
        <v>0</v>
      </c>
      <c r="M794" s="31">
        <v>1040</v>
      </c>
      <c r="N794" s="31">
        <v>4941714.29</v>
      </c>
      <c r="O794" s="31">
        <v>0</v>
      </c>
      <c r="P794" s="31">
        <v>0</v>
      </c>
      <c r="Q794" s="31">
        <v>0</v>
      </c>
      <c r="R794" s="31">
        <v>0</v>
      </c>
      <c r="S794" s="31">
        <v>0</v>
      </c>
      <c r="T794" s="31">
        <v>0</v>
      </c>
      <c r="U794" s="31">
        <v>0</v>
      </c>
      <c r="V794" s="31">
        <v>0</v>
      </c>
      <c r="W794" s="31">
        <v>0</v>
      </c>
      <c r="X794" s="31">
        <v>0</v>
      </c>
      <c r="Y794" s="31">
        <v>0</v>
      </c>
      <c r="Z794" s="31">
        <v>0</v>
      </c>
      <c r="AA794" s="31">
        <v>0</v>
      </c>
      <c r="AB794" s="31">
        <v>0</v>
      </c>
      <c r="AC794" s="31">
        <f t="shared" si="146"/>
        <v>74125.710000000006</v>
      </c>
      <c r="AD794" s="31">
        <v>180000</v>
      </c>
      <c r="AE794" s="31">
        <v>0</v>
      </c>
      <c r="AF794" s="34">
        <v>2021</v>
      </c>
      <c r="AG794" s="34">
        <v>2021</v>
      </c>
      <c r="AH794" s="35">
        <v>2021</v>
      </c>
      <c r="AT794" s="20" t="e">
        <f t="shared" si="143"/>
        <v>#N/A</v>
      </c>
      <c r="BZ794" s="71"/>
      <c r="CD794" s="20" t="e">
        <f t="shared" si="147"/>
        <v>#N/A</v>
      </c>
    </row>
    <row r="795" spans="1:82" ht="61.5" x14ac:dyDescent="0.85">
      <c r="A795" s="20">
        <v>1</v>
      </c>
      <c r="B795" s="66">
        <f>SUBTOTAL(103,$A$554:A795)</f>
        <v>237</v>
      </c>
      <c r="C795" s="24" t="s">
        <v>636</v>
      </c>
      <c r="D795" s="31">
        <f t="shared" si="145"/>
        <v>4892077</v>
      </c>
      <c r="E795" s="36">
        <v>0</v>
      </c>
      <c r="F795" s="36">
        <v>0</v>
      </c>
      <c r="G795" s="36">
        <v>0</v>
      </c>
      <c r="H795" s="36">
        <v>0</v>
      </c>
      <c r="I795" s="36">
        <v>0</v>
      </c>
      <c r="J795" s="36">
        <v>0</v>
      </c>
      <c r="K795" s="33">
        <v>0</v>
      </c>
      <c r="L795" s="31">
        <v>0</v>
      </c>
      <c r="M795" s="31">
        <v>937</v>
      </c>
      <c r="N795" s="31">
        <v>4671997.04</v>
      </c>
      <c r="O795" s="31">
        <v>0</v>
      </c>
      <c r="P795" s="31">
        <v>0</v>
      </c>
      <c r="Q795" s="31">
        <v>0</v>
      </c>
      <c r="R795" s="31">
        <v>0</v>
      </c>
      <c r="S795" s="31">
        <v>0</v>
      </c>
      <c r="T795" s="31">
        <v>0</v>
      </c>
      <c r="U795" s="31">
        <v>0</v>
      </c>
      <c r="V795" s="31">
        <v>0</v>
      </c>
      <c r="W795" s="31">
        <v>0</v>
      </c>
      <c r="X795" s="31">
        <v>0</v>
      </c>
      <c r="Y795" s="31">
        <v>0</v>
      </c>
      <c r="Z795" s="31">
        <v>0</v>
      </c>
      <c r="AA795" s="31">
        <v>0</v>
      </c>
      <c r="AB795" s="31">
        <v>0</v>
      </c>
      <c r="AC795" s="31">
        <f t="shared" si="146"/>
        <v>70079.960000000006</v>
      </c>
      <c r="AD795" s="31">
        <v>150000</v>
      </c>
      <c r="AE795" s="31">
        <v>0</v>
      </c>
      <c r="AF795" s="34">
        <v>2021</v>
      </c>
      <c r="AG795" s="34">
        <v>2021</v>
      </c>
      <c r="AH795" s="35">
        <v>2021</v>
      </c>
      <c r="AT795" s="20">
        <f t="shared" si="143"/>
        <v>1</v>
      </c>
      <c r="BZ795" s="71"/>
      <c r="CD795" s="20" t="e">
        <f t="shared" si="147"/>
        <v>#N/A</v>
      </c>
    </row>
    <row r="796" spans="1:82" ht="61.5" x14ac:dyDescent="0.85">
      <c r="A796" s="20">
        <v>1</v>
      </c>
      <c r="B796" s="66">
        <f>SUBTOTAL(103,$A$554:A796)</f>
        <v>238</v>
      </c>
      <c r="C796" s="24" t="s">
        <v>627</v>
      </c>
      <c r="D796" s="31">
        <f t="shared" si="145"/>
        <v>2921671.6</v>
      </c>
      <c r="E796" s="36">
        <v>0</v>
      </c>
      <c r="F796" s="36">
        <v>0</v>
      </c>
      <c r="G796" s="36">
        <v>0</v>
      </c>
      <c r="H796" s="36">
        <v>0</v>
      </c>
      <c r="I796" s="36">
        <v>0</v>
      </c>
      <c r="J796" s="36">
        <v>0</v>
      </c>
      <c r="K796" s="33">
        <v>0</v>
      </c>
      <c r="L796" s="31">
        <v>0</v>
      </c>
      <c r="M796" s="31">
        <v>559.6</v>
      </c>
      <c r="N796" s="31">
        <v>2730710.94</v>
      </c>
      <c r="O796" s="31">
        <v>0</v>
      </c>
      <c r="P796" s="31">
        <v>0</v>
      </c>
      <c r="Q796" s="31">
        <v>0</v>
      </c>
      <c r="R796" s="31">
        <v>0</v>
      </c>
      <c r="S796" s="31">
        <v>0</v>
      </c>
      <c r="T796" s="31">
        <v>0</v>
      </c>
      <c r="U796" s="31">
        <v>0</v>
      </c>
      <c r="V796" s="31">
        <v>0</v>
      </c>
      <c r="W796" s="31">
        <v>0</v>
      </c>
      <c r="X796" s="31">
        <v>0</v>
      </c>
      <c r="Y796" s="31">
        <v>0</v>
      </c>
      <c r="Z796" s="31">
        <v>0</v>
      </c>
      <c r="AA796" s="31">
        <v>0</v>
      </c>
      <c r="AB796" s="31">
        <v>0</v>
      </c>
      <c r="AC796" s="31">
        <f t="shared" si="146"/>
        <v>40960.660000000003</v>
      </c>
      <c r="AD796" s="31">
        <v>150000</v>
      </c>
      <c r="AE796" s="31">
        <v>0</v>
      </c>
      <c r="AF796" s="34">
        <v>2021</v>
      </c>
      <c r="AG796" s="34">
        <v>2021</v>
      </c>
      <c r="AH796" s="35">
        <v>2021</v>
      </c>
      <c r="AT796" s="20" t="e">
        <f t="shared" si="143"/>
        <v>#N/A</v>
      </c>
      <c r="BZ796" s="71"/>
      <c r="CD796" s="20" t="e">
        <f t="shared" si="147"/>
        <v>#N/A</v>
      </c>
    </row>
    <row r="797" spans="1:82" ht="61.5" x14ac:dyDescent="0.85">
      <c r="A797" s="20">
        <v>1</v>
      </c>
      <c r="B797" s="66">
        <f>SUBTOTAL(103,$A$554:A797)</f>
        <v>239</v>
      </c>
      <c r="C797" s="24" t="s">
        <v>642</v>
      </c>
      <c r="D797" s="31">
        <f t="shared" si="145"/>
        <v>4923403</v>
      </c>
      <c r="E797" s="36">
        <v>0</v>
      </c>
      <c r="F797" s="36">
        <v>0</v>
      </c>
      <c r="G797" s="36">
        <v>0</v>
      </c>
      <c r="H797" s="36">
        <v>0</v>
      </c>
      <c r="I797" s="36">
        <v>0</v>
      </c>
      <c r="J797" s="36">
        <v>0</v>
      </c>
      <c r="K797" s="33">
        <v>0</v>
      </c>
      <c r="L797" s="31">
        <v>0</v>
      </c>
      <c r="M797" s="31">
        <v>943</v>
      </c>
      <c r="N797" s="31">
        <v>4702860.0999999996</v>
      </c>
      <c r="O797" s="31">
        <v>0</v>
      </c>
      <c r="P797" s="31">
        <v>0</v>
      </c>
      <c r="Q797" s="31">
        <v>0</v>
      </c>
      <c r="R797" s="31">
        <v>0</v>
      </c>
      <c r="S797" s="31">
        <v>0</v>
      </c>
      <c r="T797" s="31">
        <v>0</v>
      </c>
      <c r="U797" s="31">
        <v>0</v>
      </c>
      <c r="V797" s="31">
        <v>0</v>
      </c>
      <c r="W797" s="31">
        <v>0</v>
      </c>
      <c r="X797" s="31">
        <v>0</v>
      </c>
      <c r="Y797" s="31">
        <v>0</v>
      </c>
      <c r="Z797" s="31">
        <v>0</v>
      </c>
      <c r="AA797" s="31">
        <v>0</v>
      </c>
      <c r="AB797" s="31">
        <v>0</v>
      </c>
      <c r="AC797" s="31">
        <f t="shared" si="146"/>
        <v>70542.899999999994</v>
      </c>
      <c r="AD797" s="31">
        <v>150000</v>
      </c>
      <c r="AE797" s="31">
        <v>0</v>
      </c>
      <c r="AF797" s="34">
        <v>2021</v>
      </c>
      <c r="AG797" s="34">
        <v>2021</v>
      </c>
      <c r="AH797" s="35">
        <v>2021</v>
      </c>
      <c r="AT797" s="20" t="e">
        <f t="shared" si="143"/>
        <v>#N/A</v>
      </c>
      <c r="BZ797" s="71"/>
      <c r="CD797" s="20" t="e">
        <f t="shared" si="147"/>
        <v>#N/A</v>
      </c>
    </row>
    <row r="798" spans="1:82" ht="61.5" x14ac:dyDescent="0.85">
      <c r="A798" s="20">
        <v>1</v>
      </c>
      <c r="B798" s="66">
        <f>SUBTOTAL(103,$A$554:A798)</f>
        <v>240</v>
      </c>
      <c r="C798" s="24" t="s">
        <v>641</v>
      </c>
      <c r="D798" s="31">
        <f t="shared" si="145"/>
        <v>2767130</v>
      </c>
      <c r="E798" s="36">
        <v>0</v>
      </c>
      <c r="F798" s="36">
        <v>0</v>
      </c>
      <c r="G798" s="36">
        <v>0</v>
      </c>
      <c r="H798" s="36">
        <v>0</v>
      </c>
      <c r="I798" s="36">
        <v>0</v>
      </c>
      <c r="J798" s="36">
        <v>0</v>
      </c>
      <c r="K798" s="33">
        <v>0</v>
      </c>
      <c r="L798" s="31">
        <v>0</v>
      </c>
      <c r="M798" s="31">
        <v>530</v>
      </c>
      <c r="N798" s="31">
        <v>2578453.2000000002</v>
      </c>
      <c r="O798" s="31">
        <v>0</v>
      </c>
      <c r="P798" s="31">
        <v>0</v>
      </c>
      <c r="Q798" s="31">
        <v>0</v>
      </c>
      <c r="R798" s="31">
        <v>0</v>
      </c>
      <c r="S798" s="31">
        <v>0</v>
      </c>
      <c r="T798" s="31">
        <v>0</v>
      </c>
      <c r="U798" s="31">
        <v>0</v>
      </c>
      <c r="V798" s="31">
        <v>0</v>
      </c>
      <c r="W798" s="31">
        <v>0</v>
      </c>
      <c r="X798" s="31">
        <v>0</v>
      </c>
      <c r="Y798" s="31">
        <v>0</v>
      </c>
      <c r="Z798" s="31">
        <v>0</v>
      </c>
      <c r="AA798" s="31">
        <v>0</v>
      </c>
      <c r="AB798" s="31">
        <v>0</v>
      </c>
      <c r="AC798" s="31">
        <f t="shared" si="146"/>
        <v>38676.800000000003</v>
      </c>
      <c r="AD798" s="31">
        <v>150000</v>
      </c>
      <c r="AE798" s="31">
        <v>0</v>
      </c>
      <c r="AF798" s="34">
        <v>2021</v>
      </c>
      <c r="AG798" s="34">
        <v>2021</v>
      </c>
      <c r="AH798" s="35">
        <v>2021</v>
      </c>
      <c r="AT798" s="20" t="e">
        <f t="shared" si="143"/>
        <v>#N/A</v>
      </c>
      <c r="BZ798" s="71"/>
      <c r="CD798" s="20" t="e">
        <f t="shared" si="147"/>
        <v>#N/A</v>
      </c>
    </row>
    <row r="799" spans="1:82" ht="61.5" x14ac:dyDescent="0.85">
      <c r="A799" s="20">
        <v>1</v>
      </c>
      <c r="B799" s="66">
        <f>SUBTOTAL(103,$A$554:A799)</f>
        <v>241</v>
      </c>
      <c r="C799" s="24" t="s">
        <v>646</v>
      </c>
      <c r="D799" s="31">
        <f t="shared" si="145"/>
        <v>2248303</v>
      </c>
      <c r="E799" s="36">
        <v>0</v>
      </c>
      <c r="F799" s="36">
        <v>0</v>
      </c>
      <c r="G799" s="36">
        <v>0</v>
      </c>
      <c r="H799" s="36">
        <v>0</v>
      </c>
      <c r="I799" s="36">
        <v>0</v>
      </c>
      <c r="J799" s="36">
        <v>0</v>
      </c>
      <c r="K799" s="33">
        <v>1</v>
      </c>
      <c r="L799" s="31">
        <v>2148303</v>
      </c>
      <c r="M799" s="31">
        <v>0</v>
      </c>
      <c r="N799" s="31">
        <v>0</v>
      </c>
      <c r="O799" s="31">
        <v>0</v>
      </c>
      <c r="P799" s="31">
        <v>0</v>
      </c>
      <c r="Q799" s="31">
        <v>0</v>
      </c>
      <c r="R799" s="31">
        <v>0</v>
      </c>
      <c r="S799" s="31">
        <v>0</v>
      </c>
      <c r="T799" s="31">
        <v>0</v>
      </c>
      <c r="U799" s="31">
        <v>0</v>
      </c>
      <c r="V799" s="31">
        <v>0</v>
      </c>
      <c r="W799" s="31">
        <v>0</v>
      </c>
      <c r="X799" s="31">
        <v>0</v>
      </c>
      <c r="Y799" s="31">
        <v>0</v>
      </c>
      <c r="Z799" s="31">
        <v>0</v>
      </c>
      <c r="AA799" s="31">
        <v>0</v>
      </c>
      <c r="AB799" s="31">
        <v>0</v>
      </c>
      <c r="AC799" s="31">
        <v>0</v>
      </c>
      <c r="AD799" s="31">
        <v>100000</v>
      </c>
      <c r="AE799" s="31">
        <v>0</v>
      </c>
      <c r="AF799" s="34">
        <v>2021</v>
      </c>
      <c r="AG799" s="34">
        <v>2021</v>
      </c>
      <c r="AH799" s="35" t="s">
        <v>274</v>
      </c>
      <c r="AT799" s="20" t="e">
        <f t="shared" si="143"/>
        <v>#N/A</v>
      </c>
      <c r="BZ799" s="71"/>
      <c r="CD799" s="20" t="e">
        <f t="shared" si="147"/>
        <v>#N/A</v>
      </c>
    </row>
    <row r="800" spans="1:82" ht="61.5" x14ac:dyDescent="0.85">
      <c r="A800" s="20">
        <v>1</v>
      </c>
      <c r="B800" s="66">
        <f>SUBTOTAL(103,$A$554:A800)</f>
        <v>242</v>
      </c>
      <c r="C800" s="24" t="s">
        <v>653</v>
      </c>
      <c r="D800" s="31">
        <f t="shared" si="145"/>
        <v>5495600.0099999998</v>
      </c>
      <c r="E800" s="36">
        <v>0</v>
      </c>
      <c r="F800" s="36">
        <v>0</v>
      </c>
      <c r="G800" s="36">
        <v>0</v>
      </c>
      <c r="H800" s="36">
        <v>0</v>
      </c>
      <c r="I800" s="36">
        <v>0</v>
      </c>
      <c r="J800" s="36">
        <v>0</v>
      </c>
      <c r="K800" s="33">
        <v>0</v>
      </c>
      <c r="L800" s="31">
        <v>0</v>
      </c>
      <c r="M800" s="31">
        <v>1100</v>
      </c>
      <c r="N800" s="31">
        <v>5237044.34</v>
      </c>
      <c r="O800" s="31">
        <v>0</v>
      </c>
      <c r="P800" s="31">
        <v>0</v>
      </c>
      <c r="Q800" s="31">
        <v>0</v>
      </c>
      <c r="R800" s="31">
        <v>0</v>
      </c>
      <c r="S800" s="31">
        <v>0</v>
      </c>
      <c r="T800" s="31">
        <v>0</v>
      </c>
      <c r="U800" s="31">
        <v>0</v>
      </c>
      <c r="V800" s="31">
        <v>0</v>
      </c>
      <c r="W800" s="31">
        <v>0</v>
      </c>
      <c r="X800" s="31">
        <v>0</v>
      </c>
      <c r="Y800" s="31">
        <v>0</v>
      </c>
      <c r="Z800" s="31">
        <v>0</v>
      </c>
      <c r="AA800" s="31">
        <v>0</v>
      </c>
      <c r="AB800" s="31">
        <v>0</v>
      </c>
      <c r="AC800" s="31">
        <f t="shared" ref="AC800:AC806" si="148">ROUND(N800*1.5%,2)</f>
        <v>78555.67</v>
      </c>
      <c r="AD800" s="31">
        <v>180000</v>
      </c>
      <c r="AE800" s="31">
        <v>0</v>
      </c>
      <c r="AF800" s="34">
        <v>2021</v>
      </c>
      <c r="AG800" s="34">
        <v>2021</v>
      </c>
      <c r="AH800" s="35">
        <v>2021</v>
      </c>
      <c r="AT800" s="20" t="e">
        <f t="shared" si="143"/>
        <v>#N/A</v>
      </c>
      <c r="BZ800" s="71"/>
      <c r="CD800" s="20" t="e">
        <f t="shared" si="147"/>
        <v>#N/A</v>
      </c>
    </row>
    <row r="801" spans="1:82" ht="61.5" x14ac:dyDescent="0.85">
      <c r="A801" s="20">
        <v>1</v>
      </c>
      <c r="B801" s="66">
        <f>SUBTOTAL(103,$A$554:A801)</f>
        <v>243</v>
      </c>
      <c r="C801" s="24" t="s">
        <v>644</v>
      </c>
      <c r="D801" s="31">
        <f t="shared" si="145"/>
        <v>4364006</v>
      </c>
      <c r="E801" s="36">
        <v>0</v>
      </c>
      <c r="F801" s="36">
        <v>0</v>
      </c>
      <c r="G801" s="36">
        <v>0</v>
      </c>
      <c r="H801" s="36">
        <v>0</v>
      </c>
      <c r="I801" s="36">
        <v>0</v>
      </c>
      <c r="J801" s="36">
        <v>0</v>
      </c>
      <c r="K801" s="33">
        <v>0</v>
      </c>
      <c r="L801" s="31">
        <v>0</v>
      </c>
      <c r="M801" s="31">
        <v>873.5</v>
      </c>
      <c r="N801" s="31">
        <v>4151730.05</v>
      </c>
      <c r="O801" s="31">
        <v>0</v>
      </c>
      <c r="P801" s="31">
        <v>0</v>
      </c>
      <c r="Q801" s="31">
        <v>0</v>
      </c>
      <c r="R801" s="31">
        <v>0</v>
      </c>
      <c r="S801" s="31">
        <v>0</v>
      </c>
      <c r="T801" s="31">
        <v>0</v>
      </c>
      <c r="U801" s="31">
        <v>0</v>
      </c>
      <c r="V801" s="31">
        <v>0</v>
      </c>
      <c r="W801" s="31">
        <v>0</v>
      </c>
      <c r="X801" s="31">
        <v>0</v>
      </c>
      <c r="Y801" s="31">
        <v>0</v>
      </c>
      <c r="Z801" s="31">
        <v>0</v>
      </c>
      <c r="AA801" s="31">
        <v>0</v>
      </c>
      <c r="AB801" s="31">
        <v>0</v>
      </c>
      <c r="AC801" s="31">
        <f t="shared" si="148"/>
        <v>62275.95</v>
      </c>
      <c r="AD801" s="31">
        <v>150000</v>
      </c>
      <c r="AE801" s="31">
        <v>0</v>
      </c>
      <c r="AF801" s="34">
        <v>2021</v>
      </c>
      <c r="AG801" s="34">
        <v>2021</v>
      </c>
      <c r="AH801" s="35">
        <v>2021</v>
      </c>
      <c r="AT801" s="20" t="e">
        <f t="shared" si="143"/>
        <v>#N/A</v>
      </c>
      <c r="BZ801" s="71"/>
      <c r="CD801" s="20" t="e">
        <f t="shared" si="147"/>
        <v>#N/A</v>
      </c>
    </row>
    <row r="802" spans="1:82" ht="61.5" x14ac:dyDescent="0.85">
      <c r="A802" s="20">
        <v>1</v>
      </c>
      <c r="B802" s="66">
        <f>SUBTOTAL(103,$A$554:A802)</f>
        <v>244</v>
      </c>
      <c r="C802" s="24" t="s">
        <v>1648</v>
      </c>
      <c r="D802" s="31">
        <f>E802+F802+G802+H802+I802+J802+L802+N802+P802+R802+T802+U802+V802+W802+X802+Y802+Z802+AA802+AB802+AC802+AD802+AE802</f>
        <v>3850862.6100000003</v>
      </c>
      <c r="E802" s="31">
        <v>0</v>
      </c>
      <c r="F802" s="31">
        <v>0</v>
      </c>
      <c r="G802" s="31">
        <v>0</v>
      </c>
      <c r="H802" s="31">
        <v>0</v>
      </c>
      <c r="I802" s="31">
        <v>0</v>
      </c>
      <c r="J802" s="31">
        <v>0</v>
      </c>
      <c r="K802" s="33">
        <v>0</v>
      </c>
      <c r="L802" s="31">
        <v>0</v>
      </c>
      <c r="M802" s="31">
        <v>766</v>
      </c>
      <c r="N802" s="31">
        <f>3812708.18-206610.58+59776.89</f>
        <v>3665874.49</v>
      </c>
      <c r="O802" s="31">
        <v>0</v>
      </c>
      <c r="P802" s="31">
        <v>0</v>
      </c>
      <c r="Q802" s="31">
        <v>0</v>
      </c>
      <c r="R802" s="31">
        <v>0</v>
      </c>
      <c r="S802" s="31">
        <v>0</v>
      </c>
      <c r="T802" s="31">
        <v>0</v>
      </c>
      <c r="U802" s="31">
        <v>0</v>
      </c>
      <c r="V802" s="31">
        <v>0</v>
      </c>
      <c r="W802" s="31">
        <v>0</v>
      </c>
      <c r="X802" s="31">
        <v>0</v>
      </c>
      <c r="Y802" s="31">
        <v>0</v>
      </c>
      <c r="Z802" s="31">
        <v>0</v>
      </c>
      <c r="AA802" s="31">
        <v>0</v>
      </c>
      <c r="AB802" s="31">
        <v>0</v>
      </c>
      <c r="AC802" s="31">
        <f t="shared" si="148"/>
        <v>54988.12</v>
      </c>
      <c r="AD802" s="31">
        <v>130000</v>
      </c>
      <c r="AE802" s="31">
        <v>0</v>
      </c>
      <c r="AF802" s="34">
        <v>2021</v>
      </c>
      <c r="AG802" s="34">
        <v>2021</v>
      </c>
      <c r="AH802" s="35">
        <v>2021</v>
      </c>
      <c r="BZ802" s="71"/>
      <c r="CD802" s="20" t="e">
        <f t="shared" si="147"/>
        <v>#N/A</v>
      </c>
    </row>
    <row r="803" spans="1:82" ht="61.5" x14ac:dyDescent="0.85">
      <c r="A803" s="20">
        <v>1</v>
      </c>
      <c r="B803" s="66">
        <f>SUBTOTAL(103,$A$554:A803)</f>
        <v>245</v>
      </c>
      <c r="C803" s="24" t="s">
        <v>1671</v>
      </c>
      <c r="D803" s="31">
        <f>E803+F803+G803+H803+I803+J803+L803+N803+P803+R803+T803+U803+V803+W803+X803+Y803+Z803+AA803+AB803+AC803+AD803+AE803</f>
        <v>2693242.85</v>
      </c>
      <c r="E803" s="31">
        <v>0</v>
      </c>
      <c r="F803" s="31">
        <v>0</v>
      </c>
      <c r="G803" s="31">
        <v>0</v>
      </c>
      <c r="H803" s="31">
        <v>0</v>
      </c>
      <c r="I803" s="31">
        <v>0</v>
      </c>
      <c r="J803" s="31">
        <v>0</v>
      </c>
      <c r="K803" s="33">
        <v>0</v>
      </c>
      <c r="L803" s="31">
        <v>0</v>
      </c>
      <c r="M803" s="31">
        <v>729.73</v>
      </c>
      <c r="N803" s="31">
        <v>2554919.06</v>
      </c>
      <c r="O803" s="31">
        <v>0</v>
      </c>
      <c r="P803" s="31">
        <v>0</v>
      </c>
      <c r="Q803" s="31">
        <v>0</v>
      </c>
      <c r="R803" s="31">
        <v>0</v>
      </c>
      <c r="S803" s="31">
        <v>0</v>
      </c>
      <c r="T803" s="31">
        <v>0</v>
      </c>
      <c r="U803" s="31">
        <v>0</v>
      </c>
      <c r="V803" s="31">
        <v>0</v>
      </c>
      <c r="W803" s="31">
        <v>0</v>
      </c>
      <c r="X803" s="31">
        <v>0</v>
      </c>
      <c r="Y803" s="31">
        <v>0</v>
      </c>
      <c r="Z803" s="31">
        <v>0</v>
      </c>
      <c r="AA803" s="31">
        <v>0</v>
      </c>
      <c r="AB803" s="31">
        <v>0</v>
      </c>
      <c r="AC803" s="31">
        <f t="shared" si="148"/>
        <v>38323.79</v>
      </c>
      <c r="AD803" s="31">
        <v>100000</v>
      </c>
      <c r="AE803" s="31">
        <v>0</v>
      </c>
      <c r="AF803" s="34">
        <v>2021</v>
      </c>
      <c r="AG803" s="34">
        <v>2021</v>
      </c>
      <c r="AH803" s="35">
        <v>2021</v>
      </c>
      <c r="BZ803" s="71"/>
      <c r="CD803" s="20" t="e">
        <f t="shared" si="147"/>
        <v>#N/A</v>
      </c>
    </row>
    <row r="804" spans="1:82" ht="61.5" x14ac:dyDescent="0.85">
      <c r="A804" s="20">
        <v>1</v>
      </c>
      <c r="B804" s="66">
        <f>SUBTOTAL(103,$A$554:A804)</f>
        <v>246</v>
      </c>
      <c r="C804" s="24" t="s">
        <v>1672</v>
      </c>
      <c r="D804" s="31">
        <f>E804+F804+G804+H804+I804+J804+L804+N804+P804+R804+T804+U804+V804+W804+X804+Y804+Z804+AA804+AB804+AC804+AD804+AE804</f>
        <v>2003970.19</v>
      </c>
      <c r="E804" s="31">
        <v>0</v>
      </c>
      <c r="F804" s="31">
        <v>0</v>
      </c>
      <c r="G804" s="31">
        <v>0</v>
      </c>
      <c r="H804" s="31">
        <v>0</v>
      </c>
      <c r="I804" s="31">
        <v>0</v>
      </c>
      <c r="J804" s="31">
        <v>0</v>
      </c>
      <c r="K804" s="33">
        <v>0</v>
      </c>
      <c r="L804" s="31">
        <v>0</v>
      </c>
      <c r="M804" s="31">
        <v>383.77</v>
      </c>
      <c r="N804" s="31">
        <v>1875832.7</v>
      </c>
      <c r="O804" s="31">
        <v>0</v>
      </c>
      <c r="P804" s="31">
        <v>0</v>
      </c>
      <c r="Q804" s="31">
        <v>0</v>
      </c>
      <c r="R804" s="31">
        <v>0</v>
      </c>
      <c r="S804" s="31">
        <v>0</v>
      </c>
      <c r="T804" s="31">
        <v>0</v>
      </c>
      <c r="U804" s="31">
        <v>0</v>
      </c>
      <c r="V804" s="31">
        <v>0</v>
      </c>
      <c r="W804" s="31">
        <v>0</v>
      </c>
      <c r="X804" s="31">
        <v>0</v>
      </c>
      <c r="Y804" s="31">
        <v>0</v>
      </c>
      <c r="Z804" s="31">
        <v>0</v>
      </c>
      <c r="AA804" s="31">
        <v>0</v>
      </c>
      <c r="AB804" s="31">
        <v>0</v>
      </c>
      <c r="AC804" s="31">
        <f t="shared" si="148"/>
        <v>28137.49</v>
      </c>
      <c r="AD804" s="31">
        <v>100000</v>
      </c>
      <c r="AE804" s="31">
        <v>0</v>
      </c>
      <c r="AF804" s="34">
        <v>2021</v>
      </c>
      <c r="AG804" s="34">
        <v>2021</v>
      </c>
      <c r="AH804" s="35">
        <v>2021</v>
      </c>
      <c r="BZ804" s="71"/>
      <c r="CD804" s="20" t="e">
        <f t="shared" si="147"/>
        <v>#N/A</v>
      </c>
    </row>
    <row r="805" spans="1:82" ht="61.5" x14ac:dyDescent="0.85">
      <c r="A805" s="20">
        <v>1</v>
      </c>
      <c r="B805" s="66">
        <f>SUBTOTAL(103,$A$554:A805)</f>
        <v>247</v>
      </c>
      <c r="C805" s="24" t="s">
        <v>1673</v>
      </c>
      <c r="D805" s="31">
        <f>E805+F805+G805+H805+I805+J805+L805+N805+P805+R805+T805+U805+V805+W805+X805+Y805+Z805+AA805+AB805+AC805+AD805+AE805</f>
        <v>3795204.2399999998</v>
      </c>
      <c r="E805" s="31">
        <v>0</v>
      </c>
      <c r="F805" s="31">
        <v>0</v>
      </c>
      <c r="G805" s="31">
        <v>0</v>
      </c>
      <c r="H805" s="31">
        <v>0</v>
      </c>
      <c r="I805" s="31">
        <v>0</v>
      </c>
      <c r="J805" s="31">
        <v>0</v>
      </c>
      <c r="K805" s="33">
        <v>0</v>
      </c>
      <c r="L805" s="31">
        <v>0</v>
      </c>
      <c r="M805" s="31">
        <v>726.8</v>
      </c>
      <c r="N805" s="31">
        <v>3620890.88</v>
      </c>
      <c r="O805" s="31">
        <v>0</v>
      </c>
      <c r="P805" s="31">
        <v>0</v>
      </c>
      <c r="Q805" s="31">
        <v>0</v>
      </c>
      <c r="R805" s="31">
        <v>0</v>
      </c>
      <c r="S805" s="31">
        <v>0</v>
      </c>
      <c r="T805" s="31">
        <v>0</v>
      </c>
      <c r="U805" s="31">
        <v>0</v>
      </c>
      <c r="V805" s="31">
        <v>0</v>
      </c>
      <c r="W805" s="31">
        <v>0</v>
      </c>
      <c r="X805" s="31">
        <v>0</v>
      </c>
      <c r="Y805" s="31">
        <v>0</v>
      </c>
      <c r="Z805" s="31">
        <v>0</v>
      </c>
      <c r="AA805" s="31">
        <v>0</v>
      </c>
      <c r="AB805" s="31">
        <v>0</v>
      </c>
      <c r="AC805" s="31">
        <f t="shared" si="148"/>
        <v>54313.36</v>
      </c>
      <c r="AD805" s="31">
        <v>120000</v>
      </c>
      <c r="AE805" s="31">
        <v>0</v>
      </c>
      <c r="AF805" s="34">
        <v>2021</v>
      </c>
      <c r="AG805" s="34">
        <v>2021</v>
      </c>
      <c r="AH805" s="35">
        <v>2021</v>
      </c>
      <c r="BZ805" s="71"/>
      <c r="CD805" s="20" t="e">
        <f t="shared" si="147"/>
        <v>#N/A</v>
      </c>
    </row>
    <row r="806" spans="1:82" ht="61.5" x14ac:dyDescent="0.85">
      <c r="A806" s="20">
        <v>1</v>
      </c>
      <c r="B806" s="66">
        <f>SUBTOTAL(103,$A$554:A806)</f>
        <v>248</v>
      </c>
      <c r="C806" s="24" t="s">
        <v>1674</v>
      </c>
      <c r="D806" s="31">
        <f>E806+F806+G806+H806+I806+J806+L806+N806+P806+R806+T806+U806+V806+W806+X806+Y806+Z806+AA806+AB806+AC806+AD806+AE806</f>
        <v>2221249.2799999998</v>
      </c>
      <c r="E806" s="31">
        <v>0</v>
      </c>
      <c r="F806" s="31">
        <v>0</v>
      </c>
      <c r="G806" s="31">
        <v>0</v>
      </c>
      <c r="H806" s="31">
        <v>0</v>
      </c>
      <c r="I806" s="31">
        <v>0</v>
      </c>
      <c r="J806" s="31">
        <v>0</v>
      </c>
      <c r="K806" s="33">
        <v>0</v>
      </c>
      <c r="L806" s="31">
        <v>0</v>
      </c>
      <c r="M806" s="31">
        <v>425.38</v>
      </c>
      <c r="N806" s="31">
        <v>2089900.77</v>
      </c>
      <c r="O806" s="31">
        <v>0</v>
      </c>
      <c r="P806" s="31">
        <v>0</v>
      </c>
      <c r="Q806" s="31">
        <v>0</v>
      </c>
      <c r="R806" s="31">
        <v>0</v>
      </c>
      <c r="S806" s="31">
        <v>0</v>
      </c>
      <c r="T806" s="31">
        <v>0</v>
      </c>
      <c r="U806" s="31">
        <v>0</v>
      </c>
      <c r="V806" s="31">
        <v>0</v>
      </c>
      <c r="W806" s="31">
        <v>0</v>
      </c>
      <c r="X806" s="31">
        <v>0</v>
      </c>
      <c r="Y806" s="31">
        <v>0</v>
      </c>
      <c r="Z806" s="31">
        <v>0</v>
      </c>
      <c r="AA806" s="31">
        <v>0</v>
      </c>
      <c r="AB806" s="31">
        <v>0</v>
      </c>
      <c r="AC806" s="31">
        <f t="shared" si="148"/>
        <v>31348.51</v>
      </c>
      <c r="AD806" s="31">
        <v>100000</v>
      </c>
      <c r="AE806" s="31">
        <v>0</v>
      </c>
      <c r="AF806" s="34">
        <v>2021</v>
      </c>
      <c r="AG806" s="34">
        <v>2021</v>
      </c>
      <c r="AH806" s="35">
        <v>2021</v>
      </c>
      <c r="BZ806" s="71"/>
      <c r="CD806" s="20" t="e">
        <f t="shared" si="147"/>
        <v>#N/A</v>
      </c>
    </row>
    <row r="807" spans="1:82" ht="61.5" x14ac:dyDescent="0.85">
      <c r="B807" s="24" t="s">
        <v>841</v>
      </c>
      <c r="C807" s="24"/>
      <c r="D807" s="31">
        <f t="shared" ref="D807:AE807" si="149">SUM(D808:D809)</f>
        <v>10075097.600000001</v>
      </c>
      <c r="E807" s="31">
        <f t="shared" si="149"/>
        <v>0</v>
      </c>
      <c r="F807" s="31">
        <f t="shared" si="149"/>
        <v>0</v>
      </c>
      <c r="G807" s="31">
        <f t="shared" si="149"/>
        <v>0</v>
      </c>
      <c r="H807" s="31">
        <f t="shared" si="149"/>
        <v>0</v>
      </c>
      <c r="I807" s="31">
        <f t="shared" si="149"/>
        <v>0</v>
      </c>
      <c r="J807" s="31">
        <f t="shared" si="149"/>
        <v>0</v>
      </c>
      <c r="K807" s="33">
        <f t="shared" si="149"/>
        <v>0</v>
      </c>
      <c r="L807" s="31">
        <f t="shared" si="149"/>
        <v>0</v>
      </c>
      <c r="M807" s="31">
        <f t="shared" si="149"/>
        <v>1978.1</v>
      </c>
      <c r="N807" s="31">
        <f t="shared" si="149"/>
        <v>9601081.379999999</v>
      </c>
      <c r="O807" s="31">
        <f t="shared" si="149"/>
        <v>0</v>
      </c>
      <c r="P807" s="31">
        <f t="shared" si="149"/>
        <v>0</v>
      </c>
      <c r="Q807" s="31">
        <f t="shared" si="149"/>
        <v>0</v>
      </c>
      <c r="R807" s="31">
        <f t="shared" si="149"/>
        <v>0</v>
      </c>
      <c r="S807" s="31">
        <f t="shared" si="149"/>
        <v>0</v>
      </c>
      <c r="T807" s="31">
        <f t="shared" si="149"/>
        <v>0</v>
      </c>
      <c r="U807" s="31">
        <f t="shared" si="149"/>
        <v>0</v>
      </c>
      <c r="V807" s="31">
        <f t="shared" si="149"/>
        <v>0</v>
      </c>
      <c r="W807" s="31">
        <f t="shared" si="149"/>
        <v>0</v>
      </c>
      <c r="X807" s="31">
        <f t="shared" si="149"/>
        <v>0</v>
      </c>
      <c r="Y807" s="31">
        <f t="shared" si="149"/>
        <v>0</v>
      </c>
      <c r="Z807" s="31">
        <f t="shared" si="149"/>
        <v>0</v>
      </c>
      <c r="AA807" s="31">
        <f t="shared" si="149"/>
        <v>0</v>
      </c>
      <c r="AB807" s="31">
        <f t="shared" si="149"/>
        <v>0</v>
      </c>
      <c r="AC807" s="31">
        <f t="shared" si="149"/>
        <v>144016.22</v>
      </c>
      <c r="AD807" s="31">
        <f t="shared" si="149"/>
        <v>330000</v>
      </c>
      <c r="AE807" s="31">
        <f t="shared" si="149"/>
        <v>0</v>
      </c>
      <c r="AF807" s="72" t="s">
        <v>776</v>
      </c>
      <c r="AG807" s="72" t="s">
        <v>776</v>
      </c>
      <c r="AH807" s="89" t="s">
        <v>776</v>
      </c>
      <c r="AT807" s="20" t="e">
        <f t="shared" ref="AT807:AT836" si="150">VLOOKUP(C807,AW:AX,2,FALSE)</f>
        <v>#N/A</v>
      </c>
      <c r="BZ807" s="71">
        <v>10075097.600000001</v>
      </c>
      <c r="CD807" s="20" t="e">
        <f t="shared" si="147"/>
        <v>#N/A</v>
      </c>
    </row>
    <row r="808" spans="1:82" ht="61.5" x14ac:dyDescent="0.85">
      <c r="A808" s="20">
        <v>1</v>
      </c>
      <c r="B808" s="66">
        <f>SUBTOTAL(103,$A$554:A808)</f>
        <v>249</v>
      </c>
      <c r="C808" s="24" t="s">
        <v>662</v>
      </c>
      <c r="D808" s="31">
        <f>E808+F808+G808+H808+I808+J808+L808+N808+P808+R808+T808+U808+V808+W808+X808+Y808+Z808+AA808+AB808+AC808+AD808+AE808</f>
        <v>5608010</v>
      </c>
      <c r="E808" s="36">
        <v>0</v>
      </c>
      <c r="F808" s="36">
        <v>0</v>
      </c>
      <c r="G808" s="36">
        <v>0</v>
      </c>
      <c r="H808" s="36">
        <v>0</v>
      </c>
      <c r="I808" s="36">
        <v>0</v>
      </c>
      <c r="J808" s="36">
        <v>0</v>
      </c>
      <c r="K808" s="33">
        <v>0</v>
      </c>
      <c r="L808" s="31">
        <v>0</v>
      </c>
      <c r="M808" s="31">
        <v>1122.5</v>
      </c>
      <c r="N808" s="31">
        <v>5347793.0999999996</v>
      </c>
      <c r="O808" s="31">
        <v>0</v>
      </c>
      <c r="P808" s="31">
        <v>0</v>
      </c>
      <c r="Q808" s="31">
        <v>0</v>
      </c>
      <c r="R808" s="31">
        <v>0</v>
      </c>
      <c r="S808" s="31">
        <v>0</v>
      </c>
      <c r="T808" s="31">
        <v>0</v>
      </c>
      <c r="U808" s="31">
        <v>0</v>
      </c>
      <c r="V808" s="31">
        <v>0</v>
      </c>
      <c r="W808" s="31">
        <v>0</v>
      </c>
      <c r="X808" s="31">
        <v>0</v>
      </c>
      <c r="Y808" s="31">
        <v>0</v>
      </c>
      <c r="Z808" s="31">
        <v>0</v>
      </c>
      <c r="AA808" s="31">
        <v>0</v>
      </c>
      <c r="AB808" s="31">
        <v>0</v>
      </c>
      <c r="AC808" s="31">
        <f>ROUND(N808*1.5%,2)</f>
        <v>80216.899999999994</v>
      </c>
      <c r="AD808" s="31">
        <v>180000</v>
      </c>
      <c r="AE808" s="31">
        <v>0</v>
      </c>
      <c r="AF808" s="34">
        <v>2021</v>
      </c>
      <c r="AG808" s="34">
        <v>2021</v>
      </c>
      <c r="AH808" s="35">
        <v>2021</v>
      </c>
      <c r="AT808" s="20" t="e">
        <f t="shared" si="150"/>
        <v>#N/A</v>
      </c>
      <c r="BZ808" s="71"/>
      <c r="CD808" s="20" t="e">
        <f t="shared" si="147"/>
        <v>#N/A</v>
      </c>
    </row>
    <row r="809" spans="1:82" ht="61.5" x14ac:dyDescent="0.85">
      <c r="A809" s="20">
        <v>1</v>
      </c>
      <c r="B809" s="66">
        <f>SUBTOTAL(103,$A$554:A809)</f>
        <v>250</v>
      </c>
      <c r="C809" s="24" t="s">
        <v>659</v>
      </c>
      <c r="D809" s="31">
        <f>E809+F809+G809+H809+I809+J809+L809+N809+P809+R809+T809+U809+V809+W809+X809+Y809+Z809+AA809+AB809+AC809+AD809+AE809</f>
        <v>4467087.6000000006</v>
      </c>
      <c r="E809" s="36">
        <v>0</v>
      </c>
      <c r="F809" s="36">
        <v>0</v>
      </c>
      <c r="G809" s="36">
        <v>0</v>
      </c>
      <c r="H809" s="36">
        <v>0</v>
      </c>
      <c r="I809" s="36">
        <v>0</v>
      </c>
      <c r="J809" s="36">
        <v>0</v>
      </c>
      <c r="K809" s="33">
        <v>0</v>
      </c>
      <c r="L809" s="31">
        <v>0</v>
      </c>
      <c r="M809" s="31">
        <v>855.6</v>
      </c>
      <c r="N809" s="31">
        <v>4253288.28</v>
      </c>
      <c r="O809" s="31">
        <v>0</v>
      </c>
      <c r="P809" s="31">
        <v>0</v>
      </c>
      <c r="Q809" s="31">
        <v>0</v>
      </c>
      <c r="R809" s="31">
        <v>0</v>
      </c>
      <c r="S809" s="31">
        <v>0</v>
      </c>
      <c r="T809" s="31">
        <v>0</v>
      </c>
      <c r="U809" s="31">
        <v>0</v>
      </c>
      <c r="V809" s="31">
        <v>0</v>
      </c>
      <c r="W809" s="31">
        <v>0</v>
      </c>
      <c r="X809" s="31">
        <v>0</v>
      </c>
      <c r="Y809" s="31">
        <v>0</v>
      </c>
      <c r="Z809" s="31">
        <v>0</v>
      </c>
      <c r="AA809" s="31">
        <v>0</v>
      </c>
      <c r="AB809" s="31">
        <v>0</v>
      </c>
      <c r="AC809" s="31">
        <f>ROUND(N809*1.5%,2)</f>
        <v>63799.32</v>
      </c>
      <c r="AD809" s="31">
        <v>150000</v>
      </c>
      <c r="AE809" s="31">
        <v>0</v>
      </c>
      <c r="AF809" s="34">
        <v>2021</v>
      </c>
      <c r="AG809" s="34">
        <v>2021</v>
      </c>
      <c r="AH809" s="35">
        <v>2021</v>
      </c>
      <c r="AT809" s="20" t="e">
        <f t="shared" si="150"/>
        <v>#N/A</v>
      </c>
      <c r="BZ809" s="71"/>
      <c r="CD809" s="20" t="e">
        <f t="shared" si="147"/>
        <v>#N/A</v>
      </c>
    </row>
    <row r="810" spans="1:82" ht="61.5" x14ac:dyDescent="0.85">
      <c r="B810" s="24" t="s">
        <v>842</v>
      </c>
      <c r="C810" s="24"/>
      <c r="D810" s="31">
        <f t="shared" ref="D810:AE810" si="151">SUM(D811:D814)</f>
        <v>13069363.829999998</v>
      </c>
      <c r="E810" s="31">
        <f t="shared" si="151"/>
        <v>0</v>
      </c>
      <c r="F810" s="31">
        <f t="shared" si="151"/>
        <v>0</v>
      </c>
      <c r="G810" s="31">
        <f t="shared" si="151"/>
        <v>0</v>
      </c>
      <c r="H810" s="31">
        <f t="shared" si="151"/>
        <v>0</v>
      </c>
      <c r="I810" s="31">
        <f t="shared" si="151"/>
        <v>0</v>
      </c>
      <c r="J810" s="31">
        <f t="shared" si="151"/>
        <v>0</v>
      </c>
      <c r="K810" s="33">
        <f t="shared" si="151"/>
        <v>0</v>
      </c>
      <c r="L810" s="31">
        <f t="shared" si="151"/>
        <v>0</v>
      </c>
      <c r="M810" s="31">
        <f t="shared" si="151"/>
        <v>2503.23</v>
      </c>
      <c r="N810" s="31">
        <f t="shared" si="151"/>
        <v>12314644.17</v>
      </c>
      <c r="O810" s="31">
        <f t="shared" si="151"/>
        <v>0</v>
      </c>
      <c r="P810" s="31">
        <f t="shared" si="151"/>
        <v>0</v>
      </c>
      <c r="Q810" s="31">
        <f t="shared" si="151"/>
        <v>0</v>
      </c>
      <c r="R810" s="31">
        <f t="shared" si="151"/>
        <v>0</v>
      </c>
      <c r="S810" s="31">
        <f t="shared" si="151"/>
        <v>0</v>
      </c>
      <c r="T810" s="31">
        <f t="shared" si="151"/>
        <v>0</v>
      </c>
      <c r="U810" s="31">
        <f t="shared" si="151"/>
        <v>0</v>
      </c>
      <c r="V810" s="31">
        <f t="shared" si="151"/>
        <v>0</v>
      </c>
      <c r="W810" s="31">
        <f t="shared" si="151"/>
        <v>0</v>
      </c>
      <c r="X810" s="31">
        <f t="shared" si="151"/>
        <v>0</v>
      </c>
      <c r="Y810" s="31">
        <f t="shared" si="151"/>
        <v>0</v>
      </c>
      <c r="Z810" s="31">
        <f t="shared" si="151"/>
        <v>0</v>
      </c>
      <c r="AA810" s="31">
        <f t="shared" si="151"/>
        <v>0</v>
      </c>
      <c r="AB810" s="31">
        <f t="shared" si="151"/>
        <v>0</v>
      </c>
      <c r="AC810" s="31">
        <f t="shared" si="151"/>
        <v>184719.65999999997</v>
      </c>
      <c r="AD810" s="31">
        <f t="shared" si="151"/>
        <v>570000</v>
      </c>
      <c r="AE810" s="31">
        <f t="shared" si="151"/>
        <v>0</v>
      </c>
      <c r="AF810" s="72" t="s">
        <v>776</v>
      </c>
      <c r="AG810" s="72" t="s">
        <v>776</v>
      </c>
      <c r="AH810" s="89" t="s">
        <v>776</v>
      </c>
      <c r="AT810" s="20" t="e">
        <f t="shared" si="150"/>
        <v>#N/A</v>
      </c>
      <c r="BZ810" s="71">
        <v>13069363.829999998</v>
      </c>
      <c r="CD810" s="20" t="e">
        <f t="shared" si="147"/>
        <v>#N/A</v>
      </c>
    </row>
    <row r="811" spans="1:82" ht="61.5" x14ac:dyDescent="0.85">
      <c r="A811" s="20">
        <v>1</v>
      </c>
      <c r="B811" s="66">
        <f>SUBTOTAL(103,$A$554:A811)</f>
        <v>251</v>
      </c>
      <c r="C811" s="24" t="s">
        <v>667</v>
      </c>
      <c r="D811" s="31">
        <f>E811+F811+G811+H811+I811+J811+L811+N811+P811+R811+T811+U811+V811+W811+X811+Y811+Z811+AA811+AB811+AC811+AD811+AE811</f>
        <v>1801245</v>
      </c>
      <c r="E811" s="36">
        <v>0</v>
      </c>
      <c r="F811" s="36">
        <v>0</v>
      </c>
      <c r="G811" s="36">
        <v>0</v>
      </c>
      <c r="H811" s="36">
        <v>0</v>
      </c>
      <c r="I811" s="36">
        <v>0</v>
      </c>
      <c r="J811" s="36">
        <v>0</v>
      </c>
      <c r="K811" s="33">
        <v>0</v>
      </c>
      <c r="L811" s="31">
        <v>0</v>
      </c>
      <c r="M811" s="31">
        <v>345</v>
      </c>
      <c r="N811" s="31">
        <v>1656399.01</v>
      </c>
      <c r="O811" s="31">
        <v>0</v>
      </c>
      <c r="P811" s="31">
        <v>0</v>
      </c>
      <c r="Q811" s="31">
        <v>0</v>
      </c>
      <c r="R811" s="31">
        <v>0</v>
      </c>
      <c r="S811" s="31">
        <v>0</v>
      </c>
      <c r="T811" s="31">
        <v>0</v>
      </c>
      <c r="U811" s="31">
        <v>0</v>
      </c>
      <c r="V811" s="31">
        <v>0</v>
      </c>
      <c r="W811" s="31">
        <v>0</v>
      </c>
      <c r="X811" s="31">
        <v>0</v>
      </c>
      <c r="Y811" s="31">
        <v>0</v>
      </c>
      <c r="Z811" s="31">
        <v>0</v>
      </c>
      <c r="AA811" s="31">
        <v>0</v>
      </c>
      <c r="AB811" s="31">
        <v>0</v>
      </c>
      <c r="AC811" s="31">
        <f>ROUND(N811*1.5%,2)</f>
        <v>24845.99</v>
      </c>
      <c r="AD811" s="31">
        <v>120000</v>
      </c>
      <c r="AE811" s="31">
        <v>0</v>
      </c>
      <c r="AF811" s="34">
        <v>2021</v>
      </c>
      <c r="AG811" s="34">
        <v>2021</v>
      </c>
      <c r="AH811" s="35">
        <v>2021</v>
      </c>
      <c r="AT811" s="20" t="e">
        <f t="shared" si="150"/>
        <v>#N/A</v>
      </c>
      <c r="BZ811" s="71"/>
      <c r="CD811" s="20" t="e">
        <f t="shared" si="147"/>
        <v>#N/A</v>
      </c>
    </row>
    <row r="812" spans="1:82" ht="61.5" x14ac:dyDescent="0.85">
      <c r="A812" s="20">
        <v>1</v>
      </c>
      <c r="B812" s="66">
        <f>SUBTOTAL(103,$A$554:A812)</f>
        <v>252</v>
      </c>
      <c r="C812" s="24" t="s">
        <v>668</v>
      </c>
      <c r="D812" s="31">
        <f>E812+F812+G812+H812+I812+J812+L812+N812+P812+R812+T812+U812+V812+W812+X812+Y812+Z812+AA812+AB812+AC812+AD812+AE812</f>
        <v>4223945.63</v>
      </c>
      <c r="E812" s="36">
        <v>0</v>
      </c>
      <c r="F812" s="36">
        <v>0</v>
      </c>
      <c r="G812" s="36">
        <v>0</v>
      </c>
      <c r="H812" s="36">
        <v>0</v>
      </c>
      <c r="I812" s="36">
        <v>0</v>
      </c>
      <c r="J812" s="36">
        <v>0</v>
      </c>
      <c r="K812" s="33">
        <v>0</v>
      </c>
      <c r="L812" s="31">
        <v>0</v>
      </c>
      <c r="M812" s="31">
        <v>809.03</v>
      </c>
      <c r="N812" s="31">
        <v>4013739.54</v>
      </c>
      <c r="O812" s="31">
        <v>0</v>
      </c>
      <c r="P812" s="31">
        <v>0</v>
      </c>
      <c r="Q812" s="31">
        <v>0</v>
      </c>
      <c r="R812" s="31">
        <v>0</v>
      </c>
      <c r="S812" s="31">
        <v>0</v>
      </c>
      <c r="T812" s="31">
        <v>0</v>
      </c>
      <c r="U812" s="31">
        <v>0</v>
      </c>
      <c r="V812" s="31">
        <v>0</v>
      </c>
      <c r="W812" s="31">
        <v>0</v>
      </c>
      <c r="X812" s="31">
        <v>0</v>
      </c>
      <c r="Y812" s="31">
        <v>0</v>
      </c>
      <c r="Z812" s="31">
        <v>0</v>
      </c>
      <c r="AA812" s="31">
        <v>0</v>
      </c>
      <c r="AB812" s="31">
        <v>0</v>
      </c>
      <c r="AC812" s="31">
        <f>ROUND(N812*1.5%,2)</f>
        <v>60206.09</v>
      </c>
      <c r="AD812" s="31">
        <v>150000</v>
      </c>
      <c r="AE812" s="31">
        <v>0</v>
      </c>
      <c r="AF812" s="34">
        <v>2021</v>
      </c>
      <c r="AG812" s="34">
        <v>2021</v>
      </c>
      <c r="AH812" s="35">
        <v>2021</v>
      </c>
      <c r="AT812" s="20" t="e">
        <f t="shared" si="150"/>
        <v>#N/A</v>
      </c>
      <c r="BZ812" s="71"/>
      <c r="CD812" s="20" t="e">
        <f t="shared" si="147"/>
        <v>#N/A</v>
      </c>
    </row>
    <row r="813" spans="1:82" ht="61.5" x14ac:dyDescent="0.85">
      <c r="A813" s="20">
        <v>1</v>
      </c>
      <c r="B813" s="66">
        <f>SUBTOTAL(103,$A$554:A813)</f>
        <v>253</v>
      </c>
      <c r="C813" s="24" t="s">
        <v>669</v>
      </c>
      <c r="D813" s="31">
        <f>E813+F813+G813+H813+I813+J813+L813+N813+P813+R813+T813+U813+V813+W813+X813+Y813+Z813+AA813+AB813+AC813+AD813+AE813</f>
        <v>3905308</v>
      </c>
      <c r="E813" s="36">
        <v>0</v>
      </c>
      <c r="F813" s="36">
        <v>0</v>
      </c>
      <c r="G813" s="36">
        <v>0</v>
      </c>
      <c r="H813" s="36">
        <v>0</v>
      </c>
      <c r="I813" s="36">
        <v>0</v>
      </c>
      <c r="J813" s="36">
        <v>0</v>
      </c>
      <c r="K813" s="33">
        <v>0</v>
      </c>
      <c r="L813" s="31">
        <v>0</v>
      </c>
      <c r="M813" s="31">
        <v>748</v>
      </c>
      <c r="N813" s="31">
        <v>3699810.84</v>
      </c>
      <c r="O813" s="31">
        <v>0</v>
      </c>
      <c r="P813" s="31">
        <v>0</v>
      </c>
      <c r="Q813" s="31">
        <v>0</v>
      </c>
      <c r="R813" s="31">
        <v>0</v>
      </c>
      <c r="S813" s="31">
        <v>0</v>
      </c>
      <c r="T813" s="31">
        <v>0</v>
      </c>
      <c r="U813" s="31">
        <v>0</v>
      </c>
      <c r="V813" s="31">
        <v>0</v>
      </c>
      <c r="W813" s="31">
        <v>0</v>
      </c>
      <c r="X813" s="31">
        <v>0</v>
      </c>
      <c r="Y813" s="31">
        <v>0</v>
      </c>
      <c r="Z813" s="31">
        <v>0</v>
      </c>
      <c r="AA813" s="31">
        <v>0</v>
      </c>
      <c r="AB813" s="31">
        <v>0</v>
      </c>
      <c r="AC813" s="31">
        <f>ROUND(N813*1.5%,2)</f>
        <v>55497.16</v>
      </c>
      <c r="AD813" s="31">
        <v>150000</v>
      </c>
      <c r="AE813" s="31">
        <v>0</v>
      </c>
      <c r="AF813" s="34">
        <v>2021</v>
      </c>
      <c r="AG813" s="34">
        <v>2021</v>
      </c>
      <c r="AH813" s="35">
        <v>2021</v>
      </c>
      <c r="AT813" s="20" t="e">
        <f t="shared" si="150"/>
        <v>#N/A</v>
      </c>
      <c r="BZ813" s="71"/>
      <c r="CD813" s="20" t="e">
        <f t="shared" si="147"/>
        <v>#N/A</v>
      </c>
    </row>
    <row r="814" spans="1:82" ht="61.5" x14ac:dyDescent="0.85">
      <c r="A814" s="20">
        <v>1</v>
      </c>
      <c r="B814" s="66">
        <f>SUBTOTAL(103,$A$554:A814)</f>
        <v>254</v>
      </c>
      <c r="C814" s="24" t="s">
        <v>666</v>
      </c>
      <c r="D814" s="31">
        <f>E814+F814+G814+H814+I814+J814+L814+N814+P814+R814+T814+U814+V814+W814+X814+Y814+Z814+AA814+AB814+AC814+AD814+AE814</f>
        <v>3138865.1999999997</v>
      </c>
      <c r="E814" s="36">
        <v>0</v>
      </c>
      <c r="F814" s="36">
        <v>0</v>
      </c>
      <c r="G814" s="36">
        <v>0</v>
      </c>
      <c r="H814" s="36">
        <v>0</v>
      </c>
      <c r="I814" s="36">
        <v>0</v>
      </c>
      <c r="J814" s="36">
        <v>0</v>
      </c>
      <c r="K814" s="33">
        <v>0</v>
      </c>
      <c r="L814" s="31">
        <v>0</v>
      </c>
      <c r="M814" s="31">
        <v>601.20000000000005</v>
      </c>
      <c r="N814" s="31">
        <v>2944694.78</v>
      </c>
      <c r="O814" s="31">
        <v>0</v>
      </c>
      <c r="P814" s="31">
        <v>0</v>
      </c>
      <c r="Q814" s="31">
        <v>0</v>
      </c>
      <c r="R814" s="31">
        <v>0</v>
      </c>
      <c r="S814" s="31">
        <v>0</v>
      </c>
      <c r="T814" s="31">
        <v>0</v>
      </c>
      <c r="U814" s="31">
        <v>0</v>
      </c>
      <c r="V814" s="31">
        <v>0</v>
      </c>
      <c r="W814" s="31">
        <v>0</v>
      </c>
      <c r="X814" s="31">
        <v>0</v>
      </c>
      <c r="Y814" s="31">
        <v>0</v>
      </c>
      <c r="Z814" s="31">
        <v>0</v>
      </c>
      <c r="AA814" s="31">
        <v>0</v>
      </c>
      <c r="AB814" s="31">
        <v>0</v>
      </c>
      <c r="AC814" s="31">
        <f>ROUND(N814*1.5%,2)</f>
        <v>44170.42</v>
      </c>
      <c r="AD814" s="31">
        <v>150000</v>
      </c>
      <c r="AE814" s="31">
        <v>0</v>
      </c>
      <c r="AF814" s="34">
        <v>2021</v>
      </c>
      <c r="AG814" s="34">
        <v>2021</v>
      </c>
      <c r="AH814" s="35">
        <v>2021</v>
      </c>
      <c r="AT814" s="20" t="e">
        <f t="shared" si="150"/>
        <v>#N/A</v>
      </c>
      <c r="BZ814" s="71"/>
      <c r="CD814" s="20" t="e">
        <f t="shared" si="147"/>
        <v>#N/A</v>
      </c>
    </row>
    <row r="815" spans="1:82" ht="61.5" x14ac:dyDescent="0.85">
      <c r="B815" s="24" t="s">
        <v>843</v>
      </c>
      <c r="C815" s="24"/>
      <c r="D815" s="31">
        <f>SUM(D816:D817)</f>
        <v>9045880.0099999998</v>
      </c>
      <c r="E815" s="31">
        <f t="shared" ref="E815:AE815" si="152">SUM(E816:E817)</f>
        <v>0</v>
      </c>
      <c r="F815" s="31">
        <f t="shared" si="152"/>
        <v>0</v>
      </c>
      <c r="G815" s="31">
        <f t="shared" si="152"/>
        <v>0</v>
      </c>
      <c r="H815" s="31">
        <f t="shared" si="152"/>
        <v>0</v>
      </c>
      <c r="I815" s="31">
        <f t="shared" si="152"/>
        <v>0</v>
      </c>
      <c r="J815" s="31">
        <f t="shared" si="152"/>
        <v>0</v>
      </c>
      <c r="K815" s="33">
        <f t="shared" si="152"/>
        <v>0</v>
      </c>
      <c r="L815" s="31">
        <f t="shared" si="152"/>
        <v>0</v>
      </c>
      <c r="M815" s="31">
        <f t="shared" si="152"/>
        <v>1780</v>
      </c>
      <c r="N815" s="31">
        <f t="shared" si="152"/>
        <v>8587073.9000000004</v>
      </c>
      <c r="O815" s="31">
        <f t="shared" si="152"/>
        <v>0</v>
      </c>
      <c r="P815" s="31">
        <f t="shared" si="152"/>
        <v>0</v>
      </c>
      <c r="Q815" s="31">
        <f t="shared" si="152"/>
        <v>0</v>
      </c>
      <c r="R815" s="31">
        <f t="shared" si="152"/>
        <v>0</v>
      </c>
      <c r="S815" s="31">
        <f t="shared" si="152"/>
        <v>0</v>
      </c>
      <c r="T815" s="31">
        <f t="shared" si="152"/>
        <v>0</v>
      </c>
      <c r="U815" s="31">
        <f t="shared" si="152"/>
        <v>0</v>
      </c>
      <c r="V815" s="31">
        <f t="shared" si="152"/>
        <v>0</v>
      </c>
      <c r="W815" s="31">
        <f t="shared" si="152"/>
        <v>0</v>
      </c>
      <c r="X815" s="31">
        <f t="shared" si="152"/>
        <v>0</v>
      </c>
      <c r="Y815" s="31">
        <f t="shared" si="152"/>
        <v>0</v>
      </c>
      <c r="Z815" s="31">
        <f t="shared" si="152"/>
        <v>0</v>
      </c>
      <c r="AA815" s="31">
        <f t="shared" si="152"/>
        <v>0</v>
      </c>
      <c r="AB815" s="31">
        <f t="shared" si="152"/>
        <v>0</v>
      </c>
      <c r="AC815" s="31">
        <f t="shared" si="152"/>
        <v>128806.11</v>
      </c>
      <c r="AD815" s="31">
        <f t="shared" si="152"/>
        <v>330000</v>
      </c>
      <c r="AE815" s="31">
        <f t="shared" si="152"/>
        <v>0</v>
      </c>
      <c r="AF815" s="72" t="s">
        <v>776</v>
      </c>
      <c r="AG815" s="72" t="s">
        <v>776</v>
      </c>
      <c r="AH815" s="89" t="s">
        <v>776</v>
      </c>
      <c r="AT815" s="20" t="e">
        <f t="shared" si="150"/>
        <v>#N/A</v>
      </c>
      <c r="BZ815" s="71">
        <v>9045880.0099999998</v>
      </c>
      <c r="CD815" s="20" t="e">
        <f t="shared" si="147"/>
        <v>#N/A</v>
      </c>
    </row>
    <row r="816" spans="1:82" ht="61.5" x14ac:dyDescent="0.85">
      <c r="A816" s="20">
        <v>1</v>
      </c>
      <c r="B816" s="66">
        <f>SUBTOTAL(103,$A$554:A816)</f>
        <v>255</v>
      </c>
      <c r="C816" s="24" t="s">
        <v>674</v>
      </c>
      <c r="D816" s="31">
        <f>E816+F816+G816+H816+I816+J816+L816+N816+P816+R816+T816+U816+V816+W816+X816+Y816+Z816+AA816+AB816+AC816+AD816+AE816</f>
        <v>3550280</v>
      </c>
      <c r="E816" s="36">
        <v>0</v>
      </c>
      <c r="F816" s="36">
        <v>0</v>
      </c>
      <c r="G816" s="36">
        <v>0</v>
      </c>
      <c r="H816" s="36">
        <v>0</v>
      </c>
      <c r="I816" s="36">
        <v>0</v>
      </c>
      <c r="J816" s="36">
        <v>0</v>
      </c>
      <c r="K816" s="33">
        <v>0</v>
      </c>
      <c r="L816" s="31">
        <v>0</v>
      </c>
      <c r="M816" s="31">
        <v>680</v>
      </c>
      <c r="N816" s="31">
        <v>3350029.56</v>
      </c>
      <c r="O816" s="31">
        <v>0</v>
      </c>
      <c r="P816" s="31">
        <v>0</v>
      </c>
      <c r="Q816" s="31">
        <v>0</v>
      </c>
      <c r="R816" s="31">
        <v>0</v>
      </c>
      <c r="S816" s="31">
        <v>0</v>
      </c>
      <c r="T816" s="31">
        <v>0</v>
      </c>
      <c r="U816" s="31">
        <v>0</v>
      </c>
      <c r="V816" s="31">
        <v>0</v>
      </c>
      <c r="W816" s="31">
        <v>0</v>
      </c>
      <c r="X816" s="31">
        <v>0</v>
      </c>
      <c r="Y816" s="31">
        <v>0</v>
      </c>
      <c r="Z816" s="31">
        <v>0</v>
      </c>
      <c r="AA816" s="31">
        <v>0</v>
      </c>
      <c r="AB816" s="31">
        <v>0</v>
      </c>
      <c r="AC816" s="31">
        <f>ROUND(N816*1.5%,2)</f>
        <v>50250.44</v>
      </c>
      <c r="AD816" s="31">
        <v>150000</v>
      </c>
      <c r="AE816" s="31">
        <v>0</v>
      </c>
      <c r="AF816" s="34">
        <v>2021</v>
      </c>
      <c r="AG816" s="34">
        <v>2021</v>
      </c>
      <c r="AH816" s="35">
        <v>2021</v>
      </c>
      <c r="AT816" s="20" t="e">
        <f t="shared" si="150"/>
        <v>#N/A</v>
      </c>
      <c r="BZ816" s="71"/>
      <c r="CD816" s="20" t="e">
        <f t="shared" si="147"/>
        <v>#N/A</v>
      </c>
    </row>
    <row r="817" spans="1:82" ht="61.5" x14ac:dyDescent="0.85">
      <c r="A817" s="20">
        <v>1</v>
      </c>
      <c r="B817" s="66">
        <f>SUBTOTAL(103,$A$554:A817)</f>
        <v>256</v>
      </c>
      <c r="C817" s="24" t="s">
        <v>677</v>
      </c>
      <c r="D817" s="31">
        <f>E817+F817+G817+H817+I817+J817+L817+N817+P817+R817+T817+U817+V817+W817+X817+Y817+Z817+AA817+AB817+AC817+AD817+AE817</f>
        <v>5495600.0099999998</v>
      </c>
      <c r="E817" s="38">
        <v>0</v>
      </c>
      <c r="F817" s="38">
        <v>0</v>
      </c>
      <c r="G817" s="38">
        <v>0</v>
      </c>
      <c r="H817" s="38">
        <v>0</v>
      </c>
      <c r="I817" s="38">
        <v>0</v>
      </c>
      <c r="J817" s="38">
        <v>0</v>
      </c>
      <c r="K817" s="86">
        <v>0</v>
      </c>
      <c r="L817" s="38">
        <v>0</v>
      </c>
      <c r="M817" s="31">
        <v>1100</v>
      </c>
      <c r="N817" s="31">
        <v>5237044.34</v>
      </c>
      <c r="O817" s="31">
        <v>0</v>
      </c>
      <c r="P817" s="31">
        <v>0</v>
      </c>
      <c r="Q817" s="31">
        <v>0</v>
      </c>
      <c r="R817" s="31">
        <v>0</v>
      </c>
      <c r="S817" s="31">
        <v>0</v>
      </c>
      <c r="T817" s="31">
        <v>0</v>
      </c>
      <c r="U817" s="31">
        <v>0</v>
      </c>
      <c r="V817" s="31">
        <v>0</v>
      </c>
      <c r="W817" s="31">
        <v>0</v>
      </c>
      <c r="X817" s="31">
        <v>0</v>
      </c>
      <c r="Y817" s="31">
        <v>0</v>
      </c>
      <c r="Z817" s="31">
        <v>0</v>
      </c>
      <c r="AA817" s="31">
        <v>0</v>
      </c>
      <c r="AB817" s="31">
        <v>0</v>
      </c>
      <c r="AC817" s="31">
        <f>ROUND(N817*1.5%,2)</f>
        <v>78555.67</v>
      </c>
      <c r="AD817" s="31">
        <v>180000</v>
      </c>
      <c r="AE817" s="31">
        <v>0</v>
      </c>
      <c r="AF817" s="34">
        <v>2021</v>
      </c>
      <c r="AG817" s="34">
        <v>2021</v>
      </c>
      <c r="AH817" s="35">
        <v>2021</v>
      </c>
      <c r="AT817" s="20" t="e">
        <f t="shared" si="150"/>
        <v>#N/A</v>
      </c>
      <c r="BZ817" s="71"/>
      <c r="CD817" s="20" t="e">
        <f t="shared" si="147"/>
        <v>#N/A</v>
      </c>
    </row>
    <row r="818" spans="1:82" ht="61.5" x14ac:dyDescent="0.85">
      <c r="B818" s="24" t="s">
        <v>844</v>
      </c>
      <c r="C818" s="166"/>
      <c r="D818" s="31">
        <f>SUM(D819:D819)</f>
        <v>2579501.7000000002</v>
      </c>
      <c r="E818" s="31">
        <f t="shared" ref="E818:AE818" si="153">SUM(E819:E819)</f>
        <v>0</v>
      </c>
      <c r="F818" s="31">
        <f t="shared" si="153"/>
        <v>0</v>
      </c>
      <c r="G818" s="31">
        <f t="shared" si="153"/>
        <v>0</v>
      </c>
      <c r="H818" s="31">
        <f t="shared" si="153"/>
        <v>0</v>
      </c>
      <c r="I818" s="31">
        <f t="shared" si="153"/>
        <v>0</v>
      </c>
      <c r="J818" s="31">
        <f t="shared" si="153"/>
        <v>0</v>
      </c>
      <c r="K818" s="33">
        <f t="shared" si="153"/>
        <v>0</v>
      </c>
      <c r="L818" s="31">
        <f t="shared" si="153"/>
        <v>0</v>
      </c>
      <c r="M818" s="31">
        <f t="shared" si="153"/>
        <v>900</v>
      </c>
      <c r="N818" s="31">
        <f t="shared" si="153"/>
        <v>2393597.73</v>
      </c>
      <c r="O818" s="31">
        <f t="shared" si="153"/>
        <v>0</v>
      </c>
      <c r="P818" s="31">
        <f t="shared" si="153"/>
        <v>0</v>
      </c>
      <c r="Q818" s="31">
        <f t="shared" si="153"/>
        <v>0</v>
      </c>
      <c r="R818" s="31">
        <f t="shared" si="153"/>
        <v>0</v>
      </c>
      <c r="S818" s="31">
        <f t="shared" si="153"/>
        <v>0</v>
      </c>
      <c r="T818" s="31">
        <f t="shared" si="153"/>
        <v>0</v>
      </c>
      <c r="U818" s="31">
        <f t="shared" si="153"/>
        <v>0</v>
      </c>
      <c r="V818" s="31">
        <f t="shared" si="153"/>
        <v>0</v>
      </c>
      <c r="W818" s="31">
        <f t="shared" si="153"/>
        <v>0</v>
      </c>
      <c r="X818" s="31">
        <f t="shared" si="153"/>
        <v>0</v>
      </c>
      <c r="Y818" s="31">
        <f t="shared" si="153"/>
        <v>0</v>
      </c>
      <c r="Z818" s="31">
        <f t="shared" si="153"/>
        <v>0</v>
      </c>
      <c r="AA818" s="31">
        <f t="shared" si="153"/>
        <v>0</v>
      </c>
      <c r="AB818" s="31">
        <f t="shared" si="153"/>
        <v>0</v>
      </c>
      <c r="AC818" s="31">
        <f t="shared" si="153"/>
        <v>35903.97</v>
      </c>
      <c r="AD818" s="31">
        <f t="shared" si="153"/>
        <v>150000</v>
      </c>
      <c r="AE818" s="31">
        <f t="shared" si="153"/>
        <v>0</v>
      </c>
      <c r="AF818" s="72" t="s">
        <v>776</v>
      </c>
      <c r="AG818" s="72" t="s">
        <v>776</v>
      </c>
      <c r="AH818" s="89" t="s">
        <v>776</v>
      </c>
      <c r="AT818" s="20" t="e">
        <f t="shared" si="150"/>
        <v>#N/A</v>
      </c>
      <c r="BZ818" s="71">
        <v>2579501.7000000002</v>
      </c>
      <c r="CD818" s="20" t="e">
        <f t="shared" si="147"/>
        <v>#N/A</v>
      </c>
    </row>
    <row r="819" spans="1:82" ht="61.5" x14ac:dyDescent="0.85">
      <c r="A819" s="20">
        <v>1</v>
      </c>
      <c r="B819" s="66">
        <f>SUBTOTAL(103,$A$554:A819)</f>
        <v>257</v>
      </c>
      <c r="C819" s="24" t="s">
        <v>784</v>
      </c>
      <c r="D819" s="31">
        <f>E819+F819+G819+H819+I819+J819+L819+N819+P819+R819+T819+U819+V819+W819+X819+Y819+Z819+AA819+AB819+AC819+AD819+AE819</f>
        <v>2579501.7000000002</v>
      </c>
      <c r="E819" s="31">
        <v>0</v>
      </c>
      <c r="F819" s="31">
        <v>0</v>
      </c>
      <c r="G819" s="31">
        <v>0</v>
      </c>
      <c r="H819" s="31">
        <v>0</v>
      </c>
      <c r="I819" s="31">
        <v>0</v>
      </c>
      <c r="J819" s="31">
        <v>0</v>
      </c>
      <c r="K819" s="33">
        <v>0</v>
      </c>
      <c r="L819" s="31">
        <v>0</v>
      </c>
      <c r="M819" s="31">
        <v>900</v>
      </c>
      <c r="N819" s="31">
        <v>2393597.73</v>
      </c>
      <c r="O819" s="31">
        <v>0</v>
      </c>
      <c r="P819" s="31">
        <v>0</v>
      </c>
      <c r="Q819" s="31">
        <v>0</v>
      </c>
      <c r="R819" s="31">
        <v>0</v>
      </c>
      <c r="S819" s="31">
        <v>0</v>
      </c>
      <c r="T819" s="31">
        <v>0</v>
      </c>
      <c r="U819" s="31">
        <v>0</v>
      </c>
      <c r="V819" s="31">
        <v>0</v>
      </c>
      <c r="W819" s="31">
        <v>0</v>
      </c>
      <c r="X819" s="31">
        <v>0</v>
      </c>
      <c r="Y819" s="31">
        <v>0</v>
      </c>
      <c r="Z819" s="31">
        <v>0</v>
      </c>
      <c r="AA819" s="31">
        <v>0</v>
      </c>
      <c r="AB819" s="31">
        <v>0</v>
      </c>
      <c r="AC819" s="31">
        <f>ROUND(N819*1.5%,2)</f>
        <v>35903.97</v>
      </c>
      <c r="AD819" s="31">
        <v>150000</v>
      </c>
      <c r="AE819" s="31">
        <v>0</v>
      </c>
      <c r="AF819" s="34">
        <v>2021</v>
      </c>
      <c r="AG819" s="34">
        <v>2021</v>
      </c>
      <c r="AH819" s="35">
        <v>2021</v>
      </c>
      <c r="AT819" s="20" t="e">
        <f t="shared" si="150"/>
        <v>#N/A</v>
      </c>
      <c r="BZ819" s="71"/>
      <c r="CD819" s="20" t="e">
        <f t="shared" si="147"/>
        <v>#N/A</v>
      </c>
    </row>
    <row r="820" spans="1:82" ht="61.5" x14ac:dyDescent="0.85">
      <c r="B820" s="24" t="s">
        <v>846</v>
      </c>
      <c r="C820" s="24"/>
      <c r="D820" s="31">
        <f t="shared" ref="D820:AE820" si="154">SUM(D821:D822)</f>
        <v>3008567.42</v>
      </c>
      <c r="E820" s="31">
        <f t="shared" si="154"/>
        <v>0</v>
      </c>
      <c r="F820" s="31">
        <f t="shared" si="154"/>
        <v>0</v>
      </c>
      <c r="G820" s="31">
        <f t="shared" si="154"/>
        <v>0</v>
      </c>
      <c r="H820" s="31">
        <f t="shared" si="154"/>
        <v>0</v>
      </c>
      <c r="I820" s="31">
        <f t="shared" si="154"/>
        <v>357402.65</v>
      </c>
      <c r="J820" s="31">
        <f t="shared" si="154"/>
        <v>0</v>
      </c>
      <c r="K820" s="33">
        <f t="shared" si="154"/>
        <v>0</v>
      </c>
      <c r="L820" s="31">
        <f t="shared" si="154"/>
        <v>0</v>
      </c>
      <c r="M820" s="31">
        <f t="shared" si="154"/>
        <v>644.5</v>
      </c>
      <c r="N820" s="31">
        <f t="shared" si="154"/>
        <v>2419511.06</v>
      </c>
      <c r="O820" s="31">
        <f t="shared" si="154"/>
        <v>0</v>
      </c>
      <c r="P820" s="31">
        <f t="shared" si="154"/>
        <v>0</v>
      </c>
      <c r="Q820" s="31">
        <f t="shared" si="154"/>
        <v>0</v>
      </c>
      <c r="R820" s="31">
        <f t="shared" si="154"/>
        <v>0</v>
      </c>
      <c r="S820" s="31">
        <f t="shared" si="154"/>
        <v>0</v>
      </c>
      <c r="T820" s="31">
        <f t="shared" si="154"/>
        <v>0</v>
      </c>
      <c r="U820" s="31">
        <f t="shared" si="154"/>
        <v>0</v>
      </c>
      <c r="V820" s="31">
        <f t="shared" si="154"/>
        <v>0</v>
      </c>
      <c r="W820" s="31">
        <f t="shared" si="154"/>
        <v>0</v>
      </c>
      <c r="X820" s="31">
        <f t="shared" si="154"/>
        <v>0</v>
      </c>
      <c r="Y820" s="31">
        <f t="shared" si="154"/>
        <v>0</v>
      </c>
      <c r="Z820" s="31">
        <f t="shared" si="154"/>
        <v>0</v>
      </c>
      <c r="AA820" s="31">
        <f t="shared" si="154"/>
        <v>0</v>
      </c>
      <c r="AB820" s="31">
        <f t="shared" si="154"/>
        <v>0</v>
      </c>
      <c r="AC820" s="31">
        <f t="shared" si="154"/>
        <v>41653.71</v>
      </c>
      <c r="AD820" s="31">
        <f t="shared" si="154"/>
        <v>190000</v>
      </c>
      <c r="AE820" s="31">
        <f t="shared" si="154"/>
        <v>0</v>
      </c>
      <c r="AF820" s="72" t="s">
        <v>776</v>
      </c>
      <c r="AG820" s="72" t="s">
        <v>776</v>
      </c>
      <c r="AH820" s="89" t="s">
        <v>776</v>
      </c>
      <c r="AT820" s="20" t="e">
        <f t="shared" si="150"/>
        <v>#N/A</v>
      </c>
      <c r="BZ820" s="71">
        <v>3008567.42</v>
      </c>
      <c r="CD820" s="20" t="e">
        <f t="shared" si="147"/>
        <v>#N/A</v>
      </c>
    </row>
    <row r="821" spans="1:82" ht="61.5" x14ac:dyDescent="0.85">
      <c r="A821" s="20">
        <v>1</v>
      </c>
      <c r="B821" s="66">
        <f>SUBTOTAL(103,$A$554:A821)</f>
        <v>258</v>
      </c>
      <c r="C821" s="24" t="s">
        <v>710</v>
      </c>
      <c r="D821" s="31">
        <f>E821+F821+G821+H821+I821+J821+L821+N821+P821+R821+T821+U821+V821+W821+X821+Y821+Z821+AA821+AB821+AC821+AD821+AE821</f>
        <v>2605803.73</v>
      </c>
      <c r="E821" s="31">
        <v>0</v>
      </c>
      <c r="F821" s="31">
        <v>0</v>
      </c>
      <c r="G821" s="31">
        <v>0</v>
      </c>
      <c r="H821" s="31">
        <v>0</v>
      </c>
      <c r="I821" s="31">
        <v>0</v>
      </c>
      <c r="J821" s="31">
        <v>0</v>
      </c>
      <c r="K821" s="33">
        <v>0</v>
      </c>
      <c r="L821" s="31">
        <v>0</v>
      </c>
      <c r="M821" s="31">
        <v>644.5</v>
      </c>
      <c r="N821" s="31">
        <v>2419511.06</v>
      </c>
      <c r="O821" s="31">
        <v>0</v>
      </c>
      <c r="P821" s="31">
        <v>0</v>
      </c>
      <c r="Q821" s="31">
        <v>0</v>
      </c>
      <c r="R821" s="31">
        <v>0</v>
      </c>
      <c r="S821" s="31">
        <v>0</v>
      </c>
      <c r="T821" s="31">
        <v>0</v>
      </c>
      <c r="U821" s="31">
        <v>0</v>
      </c>
      <c r="V821" s="31">
        <v>0</v>
      </c>
      <c r="W821" s="31">
        <v>0</v>
      </c>
      <c r="X821" s="31">
        <v>0</v>
      </c>
      <c r="Y821" s="31">
        <v>0</v>
      </c>
      <c r="Z821" s="31">
        <v>0</v>
      </c>
      <c r="AA821" s="31">
        <v>0</v>
      </c>
      <c r="AB821" s="31">
        <v>0</v>
      </c>
      <c r="AC821" s="31">
        <f>ROUND(N821*1.5%,2)</f>
        <v>36292.67</v>
      </c>
      <c r="AD821" s="31">
        <v>150000</v>
      </c>
      <c r="AE821" s="31">
        <v>0</v>
      </c>
      <c r="AF821" s="34">
        <v>2021</v>
      </c>
      <c r="AG821" s="34">
        <v>2021</v>
      </c>
      <c r="AH821" s="35">
        <v>2021</v>
      </c>
      <c r="AT821" s="20" t="e">
        <f t="shared" si="150"/>
        <v>#N/A</v>
      </c>
      <c r="BZ821" s="71"/>
      <c r="CD821" s="20" t="e">
        <f t="shared" si="147"/>
        <v>#N/A</v>
      </c>
    </row>
    <row r="822" spans="1:82" ht="61.5" x14ac:dyDescent="0.85">
      <c r="A822" s="20">
        <v>1</v>
      </c>
      <c r="B822" s="66">
        <f>SUBTOTAL(103,$A$554:A822)</f>
        <v>259</v>
      </c>
      <c r="C822" s="24" t="s">
        <v>701</v>
      </c>
      <c r="D822" s="31">
        <f>E822+F822+G822+H822+I822+J822+L822+N822+P822+R822+T822+U822+V822+W822+X822+Y822+Z822+AA822+AB822+AC822+AD822+AE822</f>
        <v>402763.69</v>
      </c>
      <c r="E822" s="31">
        <v>0</v>
      </c>
      <c r="F822" s="31">
        <v>0</v>
      </c>
      <c r="G822" s="31">
        <v>0</v>
      </c>
      <c r="H822" s="31">
        <v>0</v>
      </c>
      <c r="I822" s="31">
        <v>357402.65</v>
      </c>
      <c r="J822" s="31">
        <v>0</v>
      </c>
      <c r="K822" s="33">
        <v>0</v>
      </c>
      <c r="L822" s="31">
        <v>0</v>
      </c>
      <c r="M822" s="31">
        <v>0</v>
      </c>
      <c r="N822" s="31">
        <v>0</v>
      </c>
      <c r="O822" s="31">
        <v>0</v>
      </c>
      <c r="P822" s="31">
        <v>0</v>
      </c>
      <c r="Q822" s="31">
        <v>0</v>
      </c>
      <c r="R822" s="31">
        <v>0</v>
      </c>
      <c r="S822" s="31">
        <v>0</v>
      </c>
      <c r="T822" s="31">
        <v>0</v>
      </c>
      <c r="U822" s="31">
        <v>0</v>
      </c>
      <c r="V822" s="31">
        <v>0</v>
      </c>
      <c r="W822" s="31">
        <v>0</v>
      </c>
      <c r="X822" s="31">
        <v>0</v>
      </c>
      <c r="Y822" s="31">
        <v>0</v>
      </c>
      <c r="Z822" s="31">
        <v>0</v>
      </c>
      <c r="AA822" s="31">
        <v>0</v>
      </c>
      <c r="AB822" s="31">
        <v>0</v>
      </c>
      <c r="AC822" s="31">
        <f>ROUND((E822+F822+G822+H822+I822+J822)*1.5%,2)</f>
        <v>5361.04</v>
      </c>
      <c r="AD822" s="31">
        <v>40000</v>
      </c>
      <c r="AE822" s="31">
        <v>0</v>
      </c>
      <c r="AF822" s="34">
        <v>2021</v>
      </c>
      <c r="AG822" s="34">
        <v>2021</v>
      </c>
      <c r="AH822" s="35">
        <v>2021</v>
      </c>
      <c r="AT822" s="20" t="e">
        <f t="shared" si="150"/>
        <v>#N/A</v>
      </c>
      <c r="BZ822" s="71"/>
      <c r="CD822" s="20" t="e">
        <f t="shared" si="147"/>
        <v>#N/A</v>
      </c>
    </row>
    <row r="823" spans="1:82" ht="61.5" x14ac:dyDescent="0.85">
      <c r="B823" s="24" t="s">
        <v>891</v>
      </c>
      <c r="C823" s="24"/>
      <c r="D823" s="31">
        <f t="shared" ref="D823:AE823" si="155">D824</f>
        <v>3080948</v>
      </c>
      <c r="E823" s="31">
        <f t="shared" si="155"/>
        <v>0</v>
      </c>
      <c r="F823" s="31">
        <f t="shared" si="155"/>
        <v>0</v>
      </c>
      <c r="G823" s="31">
        <f t="shared" si="155"/>
        <v>0</v>
      </c>
      <c r="H823" s="31">
        <f t="shared" si="155"/>
        <v>0</v>
      </c>
      <c r="I823" s="31">
        <f t="shared" si="155"/>
        <v>0</v>
      </c>
      <c r="J823" s="31">
        <f t="shared" si="155"/>
        <v>0</v>
      </c>
      <c r="K823" s="33">
        <f t="shared" si="155"/>
        <v>0</v>
      </c>
      <c r="L823" s="31">
        <f t="shared" si="155"/>
        <v>0</v>
      </c>
      <c r="M823" s="31">
        <f t="shared" si="155"/>
        <v>520</v>
      </c>
      <c r="N823" s="31">
        <f t="shared" si="155"/>
        <v>2887633.5</v>
      </c>
      <c r="O823" s="31">
        <f t="shared" si="155"/>
        <v>0</v>
      </c>
      <c r="P823" s="31">
        <f t="shared" si="155"/>
        <v>0</v>
      </c>
      <c r="Q823" s="31">
        <f t="shared" si="155"/>
        <v>0</v>
      </c>
      <c r="R823" s="31">
        <f t="shared" si="155"/>
        <v>0</v>
      </c>
      <c r="S823" s="31">
        <f t="shared" si="155"/>
        <v>0</v>
      </c>
      <c r="T823" s="31">
        <f t="shared" si="155"/>
        <v>0</v>
      </c>
      <c r="U823" s="31">
        <f t="shared" si="155"/>
        <v>0</v>
      </c>
      <c r="V823" s="31">
        <f t="shared" si="155"/>
        <v>0</v>
      </c>
      <c r="W823" s="31">
        <f t="shared" si="155"/>
        <v>0</v>
      </c>
      <c r="X823" s="31">
        <f t="shared" si="155"/>
        <v>0</v>
      </c>
      <c r="Y823" s="31">
        <f t="shared" si="155"/>
        <v>0</v>
      </c>
      <c r="Z823" s="31">
        <f t="shared" si="155"/>
        <v>0</v>
      </c>
      <c r="AA823" s="31">
        <f t="shared" si="155"/>
        <v>0</v>
      </c>
      <c r="AB823" s="31">
        <f t="shared" si="155"/>
        <v>0</v>
      </c>
      <c r="AC823" s="31">
        <f t="shared" si="155"/>
        <v>43314.5</v>
      </c>
      <c r="AD823" s="31">
        <f t="shared" si="155"/>
        <v>150000</v>
      </c>
      <c r="AE823" s="31">
        <f t="shared" si="155"/>
        <v>0</v>
      </c>
      <c r="AF823" s="72" t="s">
        <v>776</v>
      </c>
      <c r="AG823" s="72" t="s">
        <v>776</v>
      </c>
      <c r="AH823" s="89" t="s">
        <v>776</v>
      </c>
      <c r="AT823" s="20" t="e">
        <f t="shared" si="150"/>
        <v>#N/A</v>
      </c>
      <c r="BZ823" s="71">
        <v>3080948</v>
      </c>
      <c r="CD823" s="20" t="e">
        <f t="shared" si="147"/>
        <v>#N/A</v>
      </c>
    </row>
    <row r="824" spans="1:82" ht="61.5" x14ac:dyDescent="0.85">
      <c r="A824" s="20">
        <v>1</v>
      </c>
      <c r="B824" s="66">
        <f>SUBTOTAL(103,$A$554:A824)</f>
        <v>260</v>
      </c>
      <c r="C824" s="24" t="s">
        <v>695</v>
      </c>
      <c r="D824" s="31">
        <f>E824+F824+G824+H824+I824+J824+L824+N824+P824+R824+T824+U824+V824+W824+X824+Y824+Z824+AA824+AB824+AC824+AD824+AE824</f>
        <v>3080948</v>
      </c>
      <c r="E824" s="31">
        <v>0</v>
      </c>
      <c r="F824" s="31">
        <v>0</v>
      </c>
      <c r="G824" s="31">
        <v>0</v>
      </c>
      <c r="H824" s="31">
        <v>0</v>
      </c>
      <c r="I824" s="31">
        <v>0</v>
      </c>
      <c r="J824" s="31">
        <v>0</v>
      </c>
      <c r="K824" s="33">
        <v>0</v>
      </c>
      <c r="L824" s="31">
        <v>0</v>
      </c>
      <c r="M824" s="31">
        <v>520</v>
      </c>
      <c r="N824" s="31">
        <v>2887633.5</v>
      </c>
      <c r="O824" s="31">
        <v>0</v>
      </c>
      <c r="P824" s="31">
        <v>0</v>
      </c>
      <c r="Q824" s="31">
        <v>0</v>
      </c>
      <c r="R824" s="31">
        <v>0</v>
      </c>
      <c r="S824" s="31">
        <v>0</v>
      </c>
      <c r="T824" s="31">
        <v>0</v>
      </c>
      <c r="U824" s="31">
        <v>0</v>
      </c>
      <c r="V824" s="31">
        <v>0</v>
      </c>
      <c r="W824" s="31">
        <v>0</v>
      </c>
      <c r="X824" s="31">
        <v>0</v>
      </c>
      <c r="Y824" s="31">
        <v>0</v>
      </c>
      <c r="Z824" s="31">
        <v>0</v>
      </c>
      <c r="AA824" s="31">
        <v>0</v>
      </c>
      <c r="AB824" s="31">
        <v>0</v>
      </c>
      <c r="AC824" s="31">
        <f>ROUND(N824*1.5%,2)</f>
        <v>43314.5</v>
      </c>
      <c r="AD824" s="31">
        <v>150000</v>
      </c>
      <c r="AE824" s="31">
        <v>0</v>
      </c>
      <c r="AF824" s="34">
        <v>2021</v>
      </c>
      <c r="AG824" s="34">
        <v>2021</v>
      </c>
      <c r="AH824" s="35">
        <v>2021</v>
      </c>
      <c r="AT824" s="20" t="e">
        <f t="shared" si="150"/>
        <v>#N/A</v>
      </c>
      <c r="BZ824" s="71"/>
      <c r="CD824" s="20" t="e">
        <f t="shared" si="147"/>
        <v>#N/A</v>
      </c>
    </row>
    <row r="825" spans="1:82" ht="61.5" x14ac:dyDescent="0.85">
      <c r="B825" s="24" t="s">
        <v>847</v>
      </c>
      <c r="C825" s="24"/>
      <c r="D825" s="31">
        <f>D826</f>
        <v>2000000</v>
      </c>
      <c r="E825" s="31">
        <f t="shared" ref="E825:AE825" si="156">E826</f>
        <v>0</v>
      </c>
      <c r="F825" s="31">
        <f t="shared" si="156"/>
        <v>0</v>
      </c>
      <c r="G825" s="31">
        <f t="shared" si="156"/>
        <v>0</v>
      </c>
      <c r="H825" s="31">
        <f t="shared" si="156"/>
        <v>0</v>
      </c>
      <c r="I825" s="31">
        <f t="shared" si="156"/>
        <v>0</v>
      </c>
      <c r="J825" s="31">
        <f t="shared" si="156"/>
        <v>0</v>
      </c>
      <c r="K825" s="33">
        <f t="shared" si="156"/>
        <v>0</v>
      </c>
      <c r="L825" s="31">
        <f t="shared" si="156"/>
        <v>0</v>
      </c>
      <c r="M825" s="31">
        <f t="shared" si="156"/>
        <v>700.14</v>
      </c>
      <c r="N825" s="31">
        <f t="shared" si="156"/>
        <v>1842364.53</v>
      </c>
      <c r="O825" s="31">
        <f t="shared" si="156"/>
        <v>0</v>
      </c>
      <c r="P825" s="31">
        <f t="shared" si="156"/>
        <v>0</v>
      </c>
      <c r="Q825" s="31">
        <f t="shared" si="156"/>
        <v>0</v>
      </c>
      <c r="R825" s="31">
        <f t="shared" si="156"/>
        <v>0</v>
      </c>
      <c r="S825" s="31">
        <f t="shared" si="156"/>
        <v>0</v>
      </c>
      <c r="T825" s="31">
        <f t="shared" si="156"/>
        <v>0</v>
      </c>
      <c r="U825" s="31">
        <f t="shared" si="156"/>
        <v>0</v>
      </c>
      <c r="V825" s="31">
        <f t="shared" si="156"/>
        <v>0</v>
      </c>
      <c r="W825" s="31">
        <f t="shared" si="156"/>
        <v>0</v>
      </c>
      <c r="X825" s="31">
        <f t="shared" si="156"/>
        <v>0</v>
      </c>
      <c r="Y825" s="31">
        <f t="shared" si="156"/>
        <v>0</v>
      </c>
      <c r="Z825" s="31">
        <f t="shared" si="156"/>
        <v>0</v>
      </c>
      <c r="AA825" s="31">
        <f t="shared" si="156"/>
        <v>0</v>
      </c>
      <c r="AB825" s="31">
        <f t="shared" si="156"/>
        <v>0</v>
      </c>
      <c r="AC825" s="31">
        <f t="shared" si="156"/>
        <v>27635.47</v>
      </c>
      <c r="AD825" s="31">
        <f t="shared" si="156"/>
        <v>130000</v>
      </c>
      <c r="AE825" s="31">
        <f t="shared" si="156"/>
        <v>0</v>
      </c>
      <c r="AF825" s="72" t="s">
        <v>776</v>
      </c>
      <c r="AG825" s="72" t="s">
        <v>776</v>
      </c>
      <c r="AH825" s="89" t="s">
        <v>776</v>
      </c>
      <c r="AT825" s="20" t="e">
        <f t="shared" si="150"/>
        <v>#N/A</v>
      </c>
      <c r="BZ825" s="71">
        <v>2000000</v>
      </c>
      <c r="CD825" s="20" t="e">
        <f t="shared" si="147"/>
        <v>#N/A</v>
      </c>
    </row>
    <row r="826" spans="1:82" ht="61.5" x14ac:dyDescent="0.85">
      <c r="A826" s="20">
        <v>1</v>
      </c>
      <c r="B826" s="66">
        <f>SUBTOTAL(103,$A$554:A826)</f>
        <v>261</v>
      </c>
      <c r="C826" s="24" t="s">
        <v>702</v>
      </c>
      <c r="D826" s="31">
        <f>E826+F826+G826+H826+I826+J826+L826+N826+P826+R826+T826+U826+V826+W826+X826+Y826+Z826+AA826+AB826+AC826+AD826+AE826</f>
        <v>2000000</v>
      </c>
      <c r="E826" s="31">
        <v>0</v>
      </c>
      <c r="F826" s="31">
        <v>0</v>
      </c>
      <c r="G826" s="31">
        <v>0</v>
      </c>
      <c r="H826" s="31">
        <v>0</v>
      </c>
      <c r="I826" s="31">
        <v>0</v>
      </c>
      <c r="J826" s="31">
        <v>0</v>
      </c>
      <c r="K826" s="33">
        <v>0</v>
      </c>
      <c r="L826" s="31">
        <v>0</v>
      </c>
      <c r="M826" s="31">
        <v>700.14</v>
      </c>
      <c r="N826" s="31">
        <v>1842364.53</v>
      </c>
      <c r="O826" s="31">
        <v>0</v>
      </c>
      <c r="P826" s="31">
        <v>0</v>
      </c>
      <c r="Q826" s="31">
        <v>0</v>
      </c>
      <c r="R826" s="31">
        <v>0</v>
      </c>
      <c r="S826" s="31">
        <v>0</v>
      </c>
      <c r="T826" s="31">
        <v>0</v>
      </c>
      <c r="U826" s="31">
        <v>0</v>
      </c>
      <c r="V826" s="31">
        <v>0</v>
      </c>
      <c r="W826" s="31">
        <v>0</v>
      </c>
      <c r="X826" s="31">
        <v>0</v>
      </c>
      <c r="Y826" s="31">
        <v>0</v>
      </c>
      <c r="Z826" s="31">
        <v>0</v>
      </c>
      <c r="AA826" s="31">
        <v>0</v>
      </c>
      <c r="AB826" s="31">
        <v>0</v>
      </c>
      <c r="AC826" s="31">
        <f>ROUND(N826*1.5%,2)</f>
        <v>27635.47</v>
      </c>
      <c r="AD826" s="31">
        <v>130000</v>
      </c>
      <c r="AE826" s="31">
        <v>0</v>
      </c>
      <c r="AF826" s="34">
        <v>2021</v>
      </c>
      <c r="AG826" s="34">
        <v>2021</v>
      </c>
      <c r="AH826" s="35">
        <v>2021</v>
      </c>
      <c r="AT826" s="20" t="e">
        <f t="shared" si="150"/>
        <v>#N/A</v>
      </c>
      <c r="BZ826" s="71"/>
      <c r="CD826" s="20" t="e">
        <f t="shared" si="147"/>
        <v>#N/A</v>
      </c>
    </row>
    <row r="827" spans="1:82" ht="61.5" x14ac:dyDescent="0.85">
      <c r="B827" s="24" t="s">
        <v>848</v>
      </c>
      <c r="C827" s="24"/>
      <c r="D827" s="31">
        <f t="shared" ref="D827:AE827" si="157">SUM(D828:D833)</f>
        <v>23342012.82</v>
      </c>
      <c r="E827" s="31">
        <f t="shared" si="157"/>
        <v>0</v>
      </c>
      <c r="F827" s="31">
        <f t="shared" si="157"/>
        <v>0</v>
      </c>
      <c r="G827" s="31">
        <f t="shared" si="157"/>
        <v>0</v>
      </c>
      <c r="H827" s="31">
        <f t="shared" si="157"/>
        <v>0</v>
      </c>
      <c r="I827" s="31">
        <f t="shared" si="157"/>
        <v>0</v>
      </c>
      <c r="J827" s="31">
        <f t="shared" si="157"/>
        <v>0</v>
      </c>
      <c r="K827" s="33">
        <f t="shared" si="157"/>
        <v>0</v>
      </c>
      <c r="L827" s="31">
        <f t="shared" si="157"/>
        <v>0</v>
      </c>
      <c r="M827" s="31">
        <f t="shared" si="157"/>
        <v>4052.5</v>
      </c>
      <c r="N827" s="31">
        <f t="shared" si="157"/>
        <v>19724484.109999999</v>
      </c>
      <c r="O827" s="31">
        <f t="shared" si="157"/>
        <v>0</v>
      </c>
      <c r="P827" s="31">
        <f t="shared" si="157"/>
        <v>0</v>
      </c>
      <c r="Q827" s="31">
        <f t="shared" si="157"/>
        <v>2768.5</v>
      </c>
      <c r="R827" s="31">
        <f t="shared" si="157"/>
        <v>2307055.62</v>
      </c>
      <c r="S827" s="31">
        <f t="shared" si="157"/>
        <v>0</v>
      </c>
      <c r="T827" s="31">
        <f t="shared" si="157"/>
        <v>0</v>
      </c>
      <c r="U827" s="31">
        <f t="shared" si="157"/>
        <v>0</v>
      </c>
      <c r="V827" s="31">
        <f t="shared" si="157"/>
        <v>0</v>
      </c>
      <c r="W827" s="31">
        <f t="shared" si="157"/>
        <v>0</v>
      </c>
      <c r="X827" s="31">
        <f t="shared" si="157"/>
        <v>0</v>
      </c>
      <c r="Y827" s="31">
        <f t="shared" si="157"/>
        <v>0</v>
      </c>
      <c r="Z827" s="31">
        <f t="shared" si="157"/>
        <v>0</v>
      </c>
      <c r="AA827" s="31">
        <f t="shared" si="157"/>
        <v>0</v>
      </c>
      <c r="AB827" s="31">
        <f t="shared" si="157"/>
        <v>0</v>
      </c>
      <c r="AC827" s="31">
        <f t="shared" si="157"/>
        <v>330473.09000000003</v>
      </c>
      <c r="AD827" s="31">
        <f t="shared" si="157"/>
        <v>980000</v>
      </c>
      <c r="AE827" s="31">
        <f t="shared" si="157"/>
        <v>0</v>
      </c>
      <c r="AF827" s="72" t="s">
        <v>776</v>
      </c>
      <c r="AG827" s="72" t="s">
        <v>776</v>
      </c>
      <c r="AH827" s="89" t="s">
        <v>776</v>
      </c>
      <c r="AT827" s="20" t="e">
        <f t="shared" si="150"/>
        <v>#N/A</v>
      </c>
      <c r="BZ827" s="71">
        <v>23342012.82</v>
      </c>
      <c r="CD827" s="20" t="e">
        <f t="shared" si="147"/>
        <v>#N/A</v>
      </c>
    </row>
    <row r="828" spans="1:82" ht="61.5" x14ac:dyDescent="0.85">
      <c r="A828" s="20">
        <v>1</v>
      </c>
      <c r="B828" s="66">
        <f>SUBTOTAL(103,$A$554:A828)</f>
        <v>262</v>
      </c>
      <c r="C828" s="24" t="s">
        <v>692</v>
      </c>
      <c r="D828" s="31">
        <f t="shared" ref="D828:D833" si="158">E828+F828+G828+H828+I828+J828+L828+N828+P828+R828+T828+U828+V828+W828+X828+Y828+Z828+AA828+AB828+AC828+AD828+AE828</f>
        <v>2541661.4500000002</v>
      </c>
      <c r="E828" s="31">
        <v>0</v>
      </c>
      <c r="F828" s="31">
        <v>0</v>
      </c>
      <c r="G828" s="31">
        <v>0</v>
      </c>
      <c r="H828" s="31">
        <v>0</v>
      </c>
      <c r="I828" s="31">
        <v>0</v>
      </c>
      <c r="J828" s="31">
        <v>0</v>
      </c>
      <c r="K828" s="33">
        <v>0</v>
      </c>
      <c r="L828" s="31">
        <v>0</v>
      </c>
      <c r="M828" s="31">
        <v>0</v>
      </c>
      <c r="N828" s="31">
        <v>0</v>
      </c>
      <c r="O828" s="31">
        <v>0</v>
      </c>
      <c r="P828" s="31">
        <v>0</v>
      </c>
      <c r="Q828" s="31">
        <v>2768.5</v>
      </c>
      <c r="R828" s="31">
        <v>2307055.62</v>
      </c>
      <c r="S828" s="31">
        <v>0</v>
      </c>
      <c r="T828" s="31">
        <v>0</v>
      </c>
      <c r="U828" s="31">
        <v>0</v>
      </c>
      <c r="V828" s="31">
        <v>0</v>
      </c>
      <c r="W828" s="31">
        <v>0</v>
      </c>
      <c r="X828" s="31">
        <v>0</v>
      </c>
      <c r="Y828" s="31">
        <v>0</v>
      </c>
      <c r="Z828" s="31">
        <v>0</v>
      </c>
      <c r="AA828" s="31">
        <v>0</v>
      </c>
      <c r="AB828" s="31">
        <v>0</v>
      </c>
      <c r="AC828" s="31">
        <f>ROUND(R828*1.5%,2)</f>
        <v>34605.83</v>
      </c>
      <c r="AD828" s="31">
        <v>200000</v>
      </c>
      <c r="AE828" s="31">
        <v>0</v>
      </c>
      <c r="AF828" s="34">
        <v>2021</v>
      </c>
      <c r="AG828" s="34">
        <v>2021</v>
      </c>
      <c r="AH828" s="35">
        <v>2021</v>
      </c>
      <c r="AT828" s="20">
        <f t="shared" si="150"/>
        <v>1</v>
      </c>
      <c r="BZ828" s="71"/>
      <c r="CD828" s="20" t="e">
        <f t="shared" si="147"/>
        <v>#N/A</v>
      </c>
    </row>
    <row r="829" spans="1:82" ht="61.5" x14ac:dyDescent="0.85">
      <c r="A829" s="20">
        <v>1</v>
      </c>
      <c r="B829" s="66">
        <f>SUBTOTAL(103,$A$554:A829)</f>
        <v>263</v>
      </c>
      <c r="C829" s="24" t="s">
        <v>680</v>
      </c>
      <c r="D829" s="31">
        <f t="shared" si="158"/>
        <v>5370787.6200000001</v>
      </c>
      <c r="E829" s="31">
        <v>0</v>
      </c>
      <c r="F829" s="31">
        <v>0</v>
      </c>
      <c r="G829" s="31">
        <v>0</v>
      </c>
      <c r="H829" s="31">
        <v>0</v>
      </c>
      <c r="I829" s="31">
        <v>0</v>
      </c>
      <c r="J829" s="31">
        <v>0</v>
      </c>
      <c r="K829" s="33">
        <v>0</v>
      </c>
      <c r="L829" s="31">
        <v>0</v>
      </c>
      <c r="M829" s="31">
        <v>1107</v>
      </c>
      <c r="N829" s="31">
        <v>5114076.47</v>
      </c>
      <c r="O829" s="31">
        <v>0</v>
      </c>
      <c r="P829" s="31">
        <v>0</v>
      </c>
      <c r="Q829" s="31">
        <v>0</v>
      </c>
      <c r="R829" s="31">
        <v>0</v>
      </c>
      <c r="S829" s="31">
        <v>0</v>
      </c>
      <c r="T829" s="31">
        <v>0</v>
      </c>
      <c r="U829" s="31">
        <v>0</v>
      </c>
      <c r="V829" s="31">
        <v>0</v>
      </c>
      <c r="W829" s="31">
        <v>0</v>
      </c>
      <c r="X829" s="31">
        <v>0</v>
      </c>
      <c r="Y829" s="31">
        <v>0</v>
      </c>
      <c r="Z829" s="31">
        <v>0</v>
      </c>
      <c r="AA829" s="31">
        <v>0</v>
      </c>
      <c r="AB829" s="31">
        <v>0</v>
      </c>
      <c r="AC829" s="31">
        <f>ROUND(N829*1.5%,2)</f>
        <v>76711.149999999994</v>
      </c>
      <c r="AD829" s="31">
        <v>180000</v>
      </c>
      <c r="AE829" s="31">
        <v>0</v>
      </c>
      <c r="AF829" s="34">
        <v>2021</v>
      </c>
      <c r="AG829" s="34">
        <v>2021</v>
      </c>
      <c r="AH829" s="35">
        <v>2021</v>
      </c>
      <c r="AT829" s="20" t="e">
        <f t="shared" si="150"/>
        <v>#N/A</v>
      </c>
      <c r="BZ829" s="71"/>
      <c r="CD829" s="20" t="e">
        <f t="shared" si="147"/>
        <v>#N/A</v>
      </c>
    </row>
    <row r="830" spans="1:82" ht="61.5" x14ac:dyDescent="0.85">
      <c r="A830" s="20">
        <v>1</v>
      </c>
      <c r="B830" s="66">
        <f>SUBTOTAL(103,$A$554:A830)</f>
        <v>264</v>
      </c>
      <c r="C830" s="24" t="s">
        <v>708</v>
      </c>
      <c r="D830" s="31">
        <f t="shared" si="158"/>
        <v>4073004</v>
      </c>
      <c r="E830" s="31">
        <v>0</v>
      </c>
      <c r="F830" s="31">
        <v>0</v>
      </c>
      <c r="G830" s="31">
        <v>0</v>
      </c>
      <c r="H830" s="31">
        <v>0</v>
      </c>
      <c r="I830" s="31">
        <v>0</v>
      </c>
      <c r="J830" s="31">
        <v>0</v>
      </c>
      <c r="K830" s="33">
        <v>0</v>
      </c>
      <c r="L830" s="31">
        <v>0</v>
      </c>
      <c r="M830" s="31">
        <v>780</v>
      </c>
      <c r="N830" s="31">
        <v>3865028.57</v>
      </c>
      <c r="O830" s="31">
        <v>0</v>
      </c>
      <c r="P830" s="31">
        <v>0</v>
      </c>
      <c r="Q830" s="31">
        <v>0</v>
      </c>
      <c r="R830" s="31">
        <v>0</v>
      </c>
      <c r="S830" s="31">
        <v>0</v>
      </c>
      <c r="T830" s="31">
        <v>0</v>
      </c>
      <c r="U830" s="31">
        <v>0</v>
      </c>
      <c r="V830" s="31">
        <v>0</v>
      </c>
      <c r="W830" s="31">
        <v>0</v>
      </c>
      <c r="X830" s="31">
        <v>0</v>
      </c>
      <c r="Y830" s="31">
        <v>0</v>
      </c>
      <c r="Z830" s="31">
        <v>0</v>
      </c>
      <c r="AA830" s="31">
        <v>0</v>
      </c>
      <c r="AB830" s="31">
        <v>0</v>
      </c>
      <c r="AC830" s="31">
        <f>ROUND(N830*1.5%,2)</f>
        <v>57975.43</v>
      </c>
      <c r="AD830" s="31">
        <v>150000</v>
      </c>
      <c r="AE830" s="31">
        <v>0</v>
      </c>
      <c r="AF830" s="34">
        <v>2021</v>
      </c>
      <c r="AG830" s="34">
        <v>2021</v>
      </c>
      <c r="AH830" s="35">
        <v>2021</v>
      </c>
      <c r="AT830" s="20" t="e">
        <f t="shared" si="150"/>
        <v>#N/A</v>
      </c>
      <c r="BZ830" s="71"/>
      <c r="CD830" s="20" t="e">
        <f t="shared" si="147"/>
        <v>#N/A</v>
      </c>
    </row>
    <row r="831" spans="1:82" ht="61.5" x14ac:dyDescent="0.85">
      <c r="A831" s="20">
        <v>1</v>
      </c>
      <c r="B831" s="66">
        <f>SUBTOTAL(103,$A$554:A831)</f>
        <v>265</v>
      </c>
      <c r="C831" s="24" t="s">
        <v>685</v>
      </c>
      <c r="D831" s="31">
        <f t="shared" si="158"/>
        <v>3707478</v>
      </c>
      <c r="E831" s="31">
        <v>0</v>
      </c>
      <c r="F831" s="31">
        <v>0</v>
      </c>
      <c r="G831" s="31">
        <v>0</v>
      </c>
      <c r="H831" s="31">
        <v>0</v>
      </c>
      <c r="I831" s="31">
        <v>0</v>
      </c>
      <c r="J831" s="31">
        <v>0</v>
      </c>
      <c r="K831" s="33">
        <v>0</v>
      </c>
      <c r="L831" s="31">
        <v>0</v>
      </c>
      <c r="M831" s="31">
        <v>710</v>
      </c>
      <c r="N831" s="31">
        <v>3504904.43</v>
      </c>
      <c r="O831" s="31">
        <v>0</v>
      </c>
      <c r="P831" s="31">
        <v>0</v>
      </c>
      <c r="Q831" s="31">
        <v>0</v>
      </c>
      <c r="R831" s="31">
        <v>0</v>
      </c>
      <c r="S831" s="31">
        <v>0</v>
      </c>
      <c r="T831" s="31">
        <v>0</v>
      </c>
      <c r="U831" s="31">
        <v>0</v>
      </c>
      <c r="V831" s="31">
        <v>0</v>
      </c>
      <c r="W831" s="31">
        <v>0</v>
      </c>
      <c r="X831" s="31">
        <v>0</v>
      </c>
      <c r="Y831" s="31">
        <v>0</v>
      </c>
      <c r="Z831" s="31">
        <v>0</v>
      </c>
      <c r="AA831" s="31">
        <v>0</v>
      </c>
      <c r="AB831" s="31">
        <v>0</v>
      </c>
      <c r="AC831" s="31">
        <f>ROUND(N831*1.5%,2)</f>
        <v>52573.57</v>
      </c>
      <c r="AD831" s="31">
        <v>150000</v>
      </c>
      <c r="AE831" s="31">
        <v>0</v>
      </c>
      <c r="AF831" s="34">
        <v>2021</v>
      </c>
      <c r="AG831" s="34">
        <v>2021</v>
      </c>
      <c r="AH831" s="35">
        <v>2021</v>
      </c>
      <c r="AT831" s="20" t="e">
        <f t="shared" si="150"/>
        <v>#N/A</v>
      </c>
      <c r="BZ831" s="71"/>
      <c r="CD831" s="20" t="e">
        <f t="shared" si="147"/>
        <v>#N/A</v>
      </c>
    </row>
    <row r="832" spans="1:82" ht="61.5" x14ac:dyDescent="0.85">
      <c r="A832" s="20">
        <v>1</v>
      </c>
      <c r="B832" s="66">
        <f>SUBTOTAL(103,$A$554:A832)</f>
        <v>266</v>
      </c>
      <c r="C832" s="24" t="s">
        <v>690</v>
      </c>
      <c r="D832" s="31">
        <f t="shared" si="158"/>
        <v>3916350</v>
      </c>
      <c r="E832" s="31">
        <v>0</v>
      </c>
      <c r="F832" s="31">
        <v>0</v>
      </c>
      <c r="G832" s="31">
        <v>0</v>
      </c>
      <c r="H832" s="31">
        <v>0</v>
      </c>
      <c r="I832" s="31">
        <v>0</v>
      </c>
      <c r="J832" s="31">
        <v>0</v>
      </c>
      <c r="K832" s="33">
        <v>0</v>
      </c>
      <c r="L832" s="31">
        <v>0</v>
      </c>
      <c r="M832" s="31">
        <v>750</v>
      </c>
      <c r="N832" s="31">
        <v>3710689.66</v>
      </c>
      <c r="O832" s="31">
        <v>0</v>
      </c>
      <c r="P832" s="31">
        <v>0</v>
      </c>
      <c r="Q832" s="31">
        <v>0</v>
      </c>
      <c r="R832" s="31">
        <v>0</v>
      </c>
      <c r="S832" s="31">
        <v>0</v>
      </c>
      <c r="T832" s="31">
        <v>0</v>
      </c>
      <c r="U832" s="31">
        <v>0</v>
      </c>
      <c r="V832" s="31">
        <v>0</v>
      </c>
      <c r="W832" s="31">
        <v>0</v>
      </c>
      <c r="X832" s="31">
        <v>0</v>
      </c>
      <c r="Y832" s="31">
        <v>0</v>
      </c>
      <c r="Z832" s="31">
        <v>0</v>
      </c>
      <c r="AA832" s="31">
        <v>0</v>
      </c>
      <c r="AB832" s="31">
        <v>0</v>
      </c>
      <c r="AC832" s="31">
        <f>ROUND(N832*1.5%,2)</f>
        <v>55660.34</v>
      </c>
      <c r="AD832" s="31">
        <v>150000</v>
      </c>
      <c r="AE832" s="31">
        <v>0</v>
      </c>
      <c r="AF832" s="34">
        <v>2021</v>
      </c>
      <c r="AG832" s="34">
        <v>2021</v>
      </c>
      <c r="AH832" s="35">
        <v>2021</v>
      </c>
      <c r="AT832" s="20" t="e">
        <f t="shared" si="150"/>
        <v>#N/A</v>
      </c>
      <c r="BZ832" s="71"/>
      <c r="CD832" s="20" t="e">
        <f t="shared" si="147"/>
        <v>#N/A</v>
      </c>
    </row>
    <row r="833" spans="1:82" ht="61.5" x14ac:dyDescent="0.85">
      <c r="A833" s="20">
        <v>1</v>
      </c>
      <c r="B833" s="66">
        <f>SUBTOTAL(103,$A$554:A833)</f>
        <v>267</v>
      </c>
      <c r="C833" s="24" t="s">
        <v>689</v>
      </c>
      <c r="D833" s="31">
        <f t="shared" si="158"/>
        <v>3732731.75</v>
      </c>
      <c r="E833" s="31">
        <v>0</v>
      </c>
      <c r="F833" s="31">
        <v>0</v>
      </c>
      <c r="G833" s="31">
        <v>0</v>
      </c>
      <c r="H833" s="31">
        <v>0</v>
      </c>
      <c r="I833" s="31">
        <v>0</v>
      </c>
      <c r="J833" s="31">
        <v>0</v>
      </c>
      <c r="K833" s="33">
        <v>0</v>
      </c>
      <c r="L833" s="31">
        <v>0</v>
      </c>
      <c r="M833" s="31">
        <v>705.5</v>
      </c>
      <c r="N833" s="31">
        <v>3529784.98</v>
      </c>
      <c r="O833" s="31">
        <v>0</v>
      </c>
      <c r="P833" s="31">
        <v>0</v>
      </c>
      <c r="Q833" s="31">
        <v>0</v>
      </c>
      <c r="R833" s="31">
        <v>0</v>
      </c>
      <c r="S833" s="31">
        <v>0</v>
      </c>
      <c r="T833" s="31">
        <v>0</v>
      </c>
      <c r="U833" s="31">
        <v>0</v>
      </c>
      <c r="V833" s="31">
        <v>0</v>
      </c>
      <c r="W833" s="31">
        <v>0</v>
      </c>
      <c r="X833" s="31">
        <v>0</v>
      </c>
      <c r="Y833" s="31">
        <v>0</v>
      </c>
      <c r="Z833" s="31">
        <v>0</v>
      </c>
      <c r="AA833" s="31">
        <v>0</v>
      </c>
      <c r="AB833" s="31">
        <v>0</v>
      </c>
      <c r="AC833" s="31">
        <f>ROUND(N833*1.5%,2)</f>
        <v>52946.77</v>
      </c>
      <c r="AD833" s="31">
        <v>150000</v>
      </c>
      <c r="AE833" s="31">
        <v>0</v>
      </c>
      <c r="AF833" s="34">
        <v>2021</v>
      </c>
      <c r="AG833" s="34">
        <v>2021</v>
      </c>
      <c r="AH833" s="35">
        <v>2021</v>
      </c>
      <c r="AT833" s="20" t="e">
        <f t="shared" si="150"/>
        <v>#N/A</v>
      </c>
      <c r="BZ833" s="71"/>
      <c r="CD833" s="20" t="e">
        <f t="shared" si="147"/>
        <v>#N/A</v>
      </c>
    </row>
    <row r="834" spans="1:82" ht="61.5" x14ac:dyDescent="0.85">
      <c r="B834" s="24" t="s">
        <v>849</v>
      </c>
      <c r="C834" s="166"/>
      <c r="D834" s="31">
        <f>SUM(D835:D838)</f>
        <v>14656329.58</v>
      </c>
      <c r="E834" s="31">
        <f t="shared" ref="E834:AE834" si="159">SUM(E835:E838)</f>
        <v>0</v>
      </c>
      <c r="F834" s="31">
        <f t="shared" si="159"/>
        <v>0</v>
      </c>
      <c r="G834" s="31">
        <f t="shared" si="159"/>
        <v>0</v>
      </c>
      <c r="H834" s="31">
        <f t="shared" si="159"/>
        <v>0</v>
      </c>
      <c r="I834" s="31">
        <f t="shared" si="159"/>
        <v>0</v>
      </c>
      <c r="J834" s="31">
        <f t="shared" si="159"/>
        <v>0</v>
      </c>
      <c r="K834" s="33">
        <f t="shared" si="159"/>
        <v>0</v>
      </c>
      <c r="L834" s="31">
        <f t="shared" si="159"/>
        <v>0</v>
      </c>
      <c r="M834" s="31">
        <f t="shared" si="159"/>
        <v>1789</v>
      </c>
      <c r="N834" s="31">
        <f t="shared" si="159"/>
        <v>8766506.4100000001</v>
      </c>
      <c r="O834" s="31">
        <f t="shared" si="159"/>
        <v>0</v>
      </c>
      <c r="P834" s="31">
        <f t="shared" si="159"/>
        <v>0</v>
      </c>
      <c r="Q834" s="31">
        <f t="shared" si="159"/>
        <v>0</v>
      </c>
      <c r="R834" s="31">
        <f t="shared" si="159"/>
        <v>0</v>
      </c>
      <c r="S834" s="31">
        <f t="shared" si="159"/>
        <v>114</v>
      </c>
      <c r="T834" s="31">
        <f t="shared" si="159"/>
        <v>966674.55</v>
      </c>
      <c r="U834" s="31">
        <f t="shared" si="159"/>
        <v>4066158.53</v>
      </c>
      <c r="V834" s="31">
        <f t="shared" si="159"/>
        <v>0</v>
      </c>
      <c r="W834" s="31">
        <f t="shared" si="159"/>
        <v>0</v>
      </c>
      <c r="X834" s="31">
        <f t="shared" si="159"/>
        <v>0</v>
      </c>
      <c r="Y834" s="31">
        <f t="shared" si="159"/>
        <v>0</v>
      </c>
      <c r="Z834" s="31">
        <f t="shared" si="159"/>
        <v>0</v>
      </c>
      <c r="AA834" s="31">
        <f t="shared" si="159"/>
        <v>0</v>
      </c>
      <c r="AB834" s="31">
        <f t="shared" si="159"/>
        <v>0</v>
      </c>
      <c r="AC834" s="31">
        <f t="shared" si="159"/>
        <v>206990.09</v>
      </c>
      <c r="AD834" s="31">
        <f t="shared" si="159"/>
        <v>530000</v>
      </c>
      <c r="AE834" s="31">
        <f t="shared" si="159"/>
        <v>120000</v>
      </c>
      <c r="AF834" s="72" t="s">
        <v>776</v>
      </c>
      <c r="AG834" s="72" t="s">
        <v>776</v>
      </c>
      <c r="AH834" s="89" t="s">
        <v>776</v>
      </c>
      <c r="AT834" s="20" t="e">
        <f t="shared" si="150"/>
        <v>#N/A</v>
      </c>
      <c r="BZ834" s="71">
        <v>11973050.91</v>
      </c>
      <c r="CB834" s="71">
        <f>BZ834-D834</f>
        <v>-2683278.67</v>
      </c>
      <c r="CD834" s="20" t="e">
        <f t="shared" si="147"/>
        <v>#N/A</v>
      </c>
    </row>
    <row r="835" spans="1:82" ht="61.5" x14ac:dyDescent="0.85">
      <c r="A835" s="20">
        <v>1</v>
      </c>
      <c r="B835" s="66">
        <f>SUBTOTAL(103,$A$554:A835)</f>
        <v>268</v>
      </c>
      <c r="C835" s="24" t="s">
        <v>240</v>
      </c>
      <c r="D835" s="31">
        <f t="shared" ref="D835:D840" si="160">E835+F835+G835+H835+I835+J835+L835+N835+P835+R835+T835+U835+V835+W835+X835+Y835+Z835+AA835+AB835+AC835+AD835+AE835</f>
        <v>7695900</v>
      </c>
      <c r="E835" s="31">
        <v>0</v>
      </c>
      <c r="F835" s="31">
        <v>0</v>
      </c>
      <c r="G835" s="31">
        <v>0</v>
      </c>
      <c r="H835" s="31">
        <v>0</v>
      </c>
      <c r="I835" s="31">
        <v>0</v>
      </c>
      <c r="J835" s="31">
        <v>0</v>
      </c>
      <c r="K835" s="33">
        <v>0</v>
      </c>
      <c r="L835" s="31">
        <v>0</v>
      </c>
      <c r="M835" s="31">
        <v>1509</v>
      </c>
      <c r="N835" s="31">
        <v>7404827.5899999999</v>
      </c>
      <c r="O835" s="31">
        <v>0</v>
      </c>
      <c r="P835" s="31">
        <v>0</v>
      </c>
      <c r="Q835" s="31">
        <v>0</v>
      </c>
      <c r="R835" s="31">
        <v>0</v>
      </c>
      <c r="S835" s="31">
        <v>0</v>
      </c>
      <c r="T835" s="31">
        <v>0</v>
      </c>
      <c r="U835" s="31">
        <v>0</v>
      </c>
      <c r="V835" s="31">
        <v>0</v>
      </c>
      <c r="W835" s="31">
        <v>0</v>
      </c>
      <c r="X835" s="31">
        <v>0</v>
      </c>
      <c r="Y835" s="31">
        <v>0</v>
      </c>
      <c r="Z835" s="31">
        <v>0</v>
      </c>
      <c r="AA835" s="31">
        <v>0</v>
      </c>
      <c r="AB835" s="31">
        <v>0</v>
      </c>
      <c r="AC835" s="31">
        <f>ROUND(N835*1.5%,2)</f>
        <v>111072.41</v>
      </c>
      <c r="AD835" s="31">
        <v>180000</v>
      </c>
      <c r="AE835" s="31">
        <v>0</v>
      </c>
      <c r="AF835" s="34">
        <v>2021</v>
      </c>
      <c r="AG835" s="34">
        <v>2021</v>
      </c>
      <c r="AH835" s="35">
        <v>2021</v>
      </c>
      <c r="AT835" s="20">
        <f t="shared" si="150"/>
        <v>1</v>
      </c>
      <c r="BZ835" s="71"/>
      <c r="CD835" s="20" t="e">
        <f t="shared" si="147"/>
        <v>#N/A</v>
      </c>
    </row>
    <row r="836" spans="1:82" ht="61.5" x14ac:dyDescent="0.85">
      <c r="A836" s="20">
        <v>1</v>
      </c>
      <c r="B836" s="66">
        <f>SUBTOTAL(103,$A$554:A836)</f>
        <v>269</v>
      </c>
      <c r="C836" s="24" t="s">
        <v>245</v>
      </c>
      <c r="D836" s="31">
        <f t="shared" si="160"/>
        <v>4277150.91</v>
      </c>
      <c r="E836" s="31">
        <v>0</v>
      </c>
      <c r="F836" s="31">
        <v>0</v>
      </c>
      <c r="G836" s="31">
        <v>0</v>
      </c>
      <c r="H836" s="31">
        <v>0</v>
      </c>
      <c r="I836" s="31">
        <v>0</v>
      </c>
      <c r="J836" s="31">
        <v>0</v>
      </c>
      <c r="K836" s="33">
        <v>0</v>
      </c>
      <c r="L836" s="31">
        <v>0</v>
      </c>
      <c r="M836" s="31">
        <v>0</v>
      </c>
      <c r="N836" s="31">
        <v>0</v>
      </c>
      <c r="O836" s="31">
        <v>0</v>
      </c>
      <c r="P836" s="31">
        <v>0</v>
      </c>
      <c r="Q836" s="31">
        <v>0</v>
      </c>
      <c r="R836" s="31">
        <v>0</v>
      </c>
      <c r="S836" s="31">
        <v>0</v>
      </c>
      <c r="T836" s="31">
        <v>0</v>
      </c>
      <c r="U836" s="31">
        <v>4066158.53</v>
      </c>
      <c r="V836" s="31">
        <v>0</v>
      </c>
      <c r="W836" s="31">
        <v>0</v>
      </c>
      <c r="X836" s="31">
        <v>0</v>
      </c>
      <c r="Y836" s="31">
        <v>0</v>
      </c>
      <c r="Z836" s="31">
        <v>0</v>
      </c>
      <c r="AA836" s="31">
        <v>0</v>
      </c>
      <c r="AB836" s="31">
        <v>0</v>
      </c>
      <c r="AC836" s="31">
        <f>ROUND(U836*1.5%,2)</f>
        <v>60992.38</v>
      </c>
      <c r="AD836" s="31">
        <v>150000</v>
      </c>
      <c r="AE836" s="31">
        <v>0</v>
      </c>
      <c r="AF836" s="34">
        <v>2021</v>
      </c>
      <c r="AG836" s="34">
        <v>2021</v>
      </c>
      <c r="AH836" s="35">
        <v>2021</v>
      </c>
      <c r="AT836" s="20" t="e">
        <f t="shared" si="150"/>
        <v>#N/A</v>
      </c>
      <c r="BZ836" s="71"/>
      <c r="CD836" s="20" t="e">
        <f t="shared" si="147"/>
        <v>#N/A</v>
      </c>
    </row>
    <row r="837" spans="1:82" ht="61.5" x14ac:dyDescent="0.85">
      <c r="A837" s="20">
        <v>1</v>
      </c>
      <c r="B837" s="66">
        <f>SUBTOTAL(103,$A$554:A837)</f>
        <v>270</v>
      </c>
      <c r="C837" s="24" t="s">
        <v>1660</v>
      </c>
      <c r="D837" s="31">
        <f t="shared" si="160"/>
        <v>1462104</v>
      </c>
      <c r="E837" s="31">
        <v>0</v>
      </c>
      <c r="F837" s="31">
        <v>0</v>
      </c>
      <c r="G837" s="31">
        <v>0</v>
      </c>
      <c r="H837" s="31">
        <v>0</v>
      </c>
      <c r="I837" s="31">
        <v>0</v>
      </c>
      <c r="J837" s="31">
        <v>0</v>
      </c>
      <c r="K837" s="33">
        <v>0</v>
      </c>
      <c r="L837" s="31">
        <v>0</v>
      </c>
      <c r="M837" s="31">
        <v>280</v>
      </c>
      <c r="N837" s="31">
        <v>1361678.82</v>
      </c>
      <c r="O837" s="31">
        <v>0</v>
      </c>
      <c r="P837" s="31">
        <v>0</v>
      </c>
      <c r="Q837" s="31">
        <v>0</v>
      </c>
      <c r="R837" s="31">
        <v>0</v>
      </c>
      <c r="S837" s="31">
        <v>0</v>
      </c>
      <c r="T837" s="31">
        <v>0</v>
      </c>
      <c r="U837" s="31">
        <v>0</v>
      </c>
      <c r="V837" s="31">
        <v>0</v>
      </c>
      <c r="W837" s="31">
        <v>0</v>
      </c>
      <c r="X837" s="31">
        <v>0</v>
      </c>
      <c r="Y837" s="31">
        <v>0</v>
      </c>
      <c r="Z837" s="31">
        <v>0</v>
      </c>
      <c r="AA837" s="31">
        <v>0</v>
      </c>
      <c r="AB837" s="31">
        <v>0</v>
      </c>
      <c r="AC837" s="31">
        <f>ROUND(N837*1.5%,2)</f>
        <v>20425.18</v>
      </c>
      <c r="AD837" s="31">
        <v>80000</v>
      </c>
      <c r="AE837" s="31">
        <v>0</v>
      </c>
      <c r="AF837" s="34">
        <v>2021</v>
      </c>
      <c r="AG837" s="34">
        <v>2021</v>
      </c>
      <c r="AH837" s="35">
        <v>2021</v>
      </c>
      <c r="BZ837" s="71"/>
      <c r="CD837" s="20" t="e">
        <f t="shared" si="147"/>
        <v>#N/A</v>
      </c>
    </row>
    <row r="838" spans="1:82" ht="61.5" x14ac:dyDescent="0.85">
      <c r="A838" s="20">
        <v>1</v>
      </c>
      <c r="B838" s="66">
        <f>SUBTOTAL(103,$A$554:A838)</f>
        <v>271</v>
      </c>
      <c r="C838" s="24" t="s">
        <v>1661</v>
      </c>
      <c r="D838" s="31">
        <f t="shared" si="160"/>
        <v>1221174.67</v>
      </c>
      <c r="E838" s="31">
        <v>0</v>
      </c>
      <c r="F838" s="31">
        <v>0</v>
      </c>
      <c r="G838" s="31">
        <v>0</v>
      </c>
      <c r="H838" s="31">
        <v>0</v>
      </c>
      <c r="I838" s="31">
        <v>0</v>
      </c>
      <c r="J838" s="31">
        <v>0</v>
      </c>
      <c r="K838" s="33">
        <v>0</v>
      </c>
      <c r="L838" s="31">
        <v>0</v>
      </c>
      <c r="M838" s="31">
        <v>0</v>
      </c>
      <c r="N838" s="31">
        <v>0</v>
      </c>
      <c r="O838" s="31">
        <v>0</v>
      </c>
      <c r="P838" s="31">
        <v>0</v>
      </c>
      <c r="Q838" s="31">
        <v>0</v>
      </c>
      <c r="R838" s="31">
        <v>0</v>
      </c>
      <c r="S838" s="31">
        <v>114</v>
      </c>
      <c r="T838" s="31">
        <v>966674.55</v>
      </c>
      <c r="U838" s="31">
        <v>0</v>
      </c>
      <c r="V838" s="31">
        <v>0</v>
      </c>
      <c r="W838" s="31">
        <v>0</v>
      </c>
      <c r="X838" s="31">
        <v>0</v>
      </c>
      <c r="Y838" s="31">
        <v>0</v>
      </c>
      <c r="Z838" s="31">
        <v>0</v>
      </c>
      <c r="AA838" s="31">
        <v>0</v>
      </c>
      <c r="AB838" s="31">
        <v>0</v>
      </c>
      <c r="AC838" s="31">
        <f>ROUND(T838*1.5%,2)</f>
        <v>14500.12</v>
      </c>
      <c r="AD838" s="31">
        <v>120000</v>
      </c>
      <c r="AE838" s="31">
        <v>120000</v>
      </c>
      <c r="AF838" s="34">
        <v>2021</v>
      </c>
      <c r="AG838" s="34">
        <v>2021</v>
      </c>
      <c r="AH838" s="35">
        <v>2021</v>
      </c>
      <c r="BZ838" s="71"/>
      <c r="CD838" s="20" t="e">
        <f t="shared" si="147"/>
        <v>#N/A</v>
      </c>
    </row>
    <row r="839" spans="1:82" ht="61.5" x14ac:dyDescent="0.85">
      <c r="B839" s="24" t="s">
        <v>1311</v>
      </c>
      <c r="C839" s="24"/>
      <c r="D839" s="31">
        <f>D840</f>
        <v>3284631.43</v>
      </c>
      <c r="E839" s="31">
        <f t="shared" ref="E839:AE839" si="161">E840</f>
        <v>0</v>
      </c>
      <c r="F839" s="31">
        <f t="shared" si="161"/>
        <v>0</v>
      </c>
      <c r="G839" s="31">
        <f t="shared" si="161"/>
        <v>0</v>
      </c>
      <c r="H839" s="31">
        <f t="shared" si="161"/>
        <v>0</v>
      </c>
      <c r="I839" s="31">
        <f t="shared" si="161"/>
        <v>0</v>
      </c>
      <c r="J839" s="31">
        <f t="shared" si="161"/>
        <v>0</v>
      </c>
      <c r="K839" s="33">
        <f t="shared" si="161"/>
        <v>0</v>
      </c>
      <c r="L839" s="31">
        <f t="shared" si="161"/>
        <v>0</v>
      </c>
      <c r="M839" s="31">
        <f t="shared" si="161"/>
        <v>0</v>
      </c>
      <c r="N839" s="31">
        <f>N840</f>
        <v>0</v>
      </c>
      <c r="O839" s="31">
        <f t="shared" si="161"/>
        <v>0</v>
      </c>
      <c r="P839" s="31">
        <f t="shared" si="161"/>
        <v>0</v>
      </c>
      <c r="Q839" s="31">
        <f t="shared" si="161"/>
        <v>842.36</v>
      </c>
      <c r="R839" s="31">
        <f t="shared" si="161"/>
        <v>3088306.83</v>
      </c>
      <c r="S839" s="31">
        <f t="shared" si="161"/>
        <v>0</v>
      </c>
      <c r="T839" s="31">
        <f t="shared" si="161"/>
        <v>0</v>
      </c>
      <c r="U839" s="31">
        <f t="shared" si="161"/>
        <v>0</v>
      </c>
      <c r="V839" s="31">
        <f t="shared" si="161"/>
        <v>0</v>
      </c>
      <c r="W839" s="31">
        <f t="shared" si="161"/>
        <v>0</v>
      </c>
      <c r="X839" s="31">
        <f t="shared" si="161"/>
        <v>0</v>
      </c>
      <c r="Y839" s="31">
        <f t="shared" si="161"/>
        <v>0</v>
      </c>
      <c r="Z839" s="31">
        <f t="shared" si="161"/>
        <v>0</v>
      </c>
      <c r="AA839" s="31">
        <f t="shared" si="161"/>
        <v>0</v>
      </c>
      <c r="AB839" s="31">
        <f t="shared" si="161"/>
        <v>0</v>
      </c>
      <c r="AC839" s="31">
        <f t="shared" si="161"/>
        <v>46324.6</v>
      </c>
      <c r="AD839" s="31">
        <f t="shared" si="161"/>
        <v>150000</v>
      </c>
      <c r="AE839" s="31">
        <f t="shared" si="161"/>
        <v>0</v>
      </c>
      <c r="AF839" s="72" t="s">
        <v>776</v>
      </c>
      <c r="AG839" s="72" t="s">
        <v>776</v>
      </c>
      <c r="AH839" s="89" t="s">
        <v>776</v>
      </c>
      <c r="AT839" s="20" t="e">
        <f>VLOOKUP(C839,AW:AX,2,FALSE)</f>
        <v>#N/A</v>
      </c>
      <c r="BZ839" s="71">
        <v>3284631.43</v>
      </c>
      <c r="CD839" s="20" t="e">
        <f t="shared" si="147"/>
        <v>#N/A</v>
      </c>
    </row>
    <row r="840" spans="1:82" ht="61.5" x14ac:dyDescent="0.85">
      <c r="A840" s="20">
        <v>1</v>
      </c>
      <c r="B840" s="66">
        <f>SUBTOTAL(103,$A$554:A840)</f>
        <v>272</v>
      </c>
      <c r="C840" s="24" t="s">
        <v>1312</v>
      </c>
      <c r="D840" s="31">
        <f t="shared" si="160"/>
        <v>3284631.43</v>
      </c>
      <c r="E840" s="31">
        <v>0</v>
      </c>
      <c r="F840" s="31">
        <v>0</v>
      </c>
      <c r="G840" s="31">
        <v>0</v>
      </c>
      <c r="H840" s="31">
        <v>0</v>
      </c>
      <c r="I840" s="31">
        <v>0</v>
      </c>
      <c r="J840" s="31">
        <v>0</v>
      </c>
      <c r="K840" s="33">
        <v>0</v>
      </c>
      <c r="L840" s="31">
        <v>0</v>
      </c>
      <c r="M840" s="31">
        <v>0</v>
      </c>
      <c r="N840" s="31">
        <v>0</v>
      </c>
      <c r="O840" s="31">
        <v>0</v>
      </c>
      <c r="P840" s="31">
        <v>0</v>
      </c>
      <c r="Q840" s="31">
        <v>842.36</v>
      </c>
      <c r="R840" s="31">
        <v>3088306.83</v>
      </c>
      <c r="S840" s="31">
        <v>0</v>
      </c>
      <c r="T840" s="31">
        <v>0</v>
      </c>
      <c r="U840" s="31">
        <v>0</v>
      </c>
      <c r="V840" s="31">
        <v>0</v>
      </c>
      <c r="W840" s="31">
        <v>0</v>
      </c>
      <c r="X840" s="31">
        <v>0</v>
      </c>
      <c r="Y840" s="31">
        <v>0</v>
      </c>
      <c r="Z840" s="31">
        <v>0</v>
      </c>
      <c r="AA840" s="31">
        <v>0</v>
      </c>
      <c r="AB840" s="31">
        <v>0</v>
      </c>
      <c r="AC840" s="31">
        <f>ROUND(R840*1.5%,2)</f>
        <v>46324.6</v>
      </c>
      <c r="AD840" s="31">
        <v>150000</v>
      </c>
      <c r="AE840" s="31">
        <v>0</v>
      </c>
      <c r="AF840" s="34">
        <v>2021</v>
      </c>
      <c r="AG840" s="34">
        <v>2021</v>
      </c>
      <c r="AH840" s="35">
        <v>2021</v>
      </c>
      <c r="BZ840" s="71"/>
      <c r="CD840" s="20" t="e">
        <f t="shared" si="147"/>
        <v>#N/A</v>
      </c>
    </row>
    <row r="841" spans="1:82" ht="61.5" x14ac:dyDescent="0.85">
      <c r="B841" s="24" t="s">
        <v>892</v>
      </c>
      <c r="C841" s="24"/>
      <c r="D841" s="31">
        <f t="shared" ref="D841:AE841" si="162">SUM(D842)</f>
        <v>2255220</v>
      </c>
      <c r="E841" s="31">
        <f t="shared" si="162"/>
        <v>0</v>
      </c>
      <c r="F841" s="31">
        <f t="shared" si="162"/>
        <v>0</v>
      </c>
      <c r="G841" s="31">
        <f t="shared" si="162"/>
        <v>0</v>
      </c>
      <c r="H841" s="31">
        <f t="shared" si="162"/>
        <v>0</v>
      </c>
      <c r="I841" s="31">
        <f t="shared" si="162"/>
        <v>0</v>
      </c>
      <c r="J841" s="31">
        <f t="shared" si="162"/>
        <v>0</v>
      </c>
      <c r="K841" s="33">
        <f t="shared" si="162"/>
        <v>0</v>
      </c>
      <c r="L841" s="31">
        <f t="shared" si="162"/>
        <v>0</v>
      </c>
      <c r="M841" s="31">
        <f t="shared" si="162"/>
        <v>442.2</v>
      </c>
      <c r="N841" s="31">
        <f t="shared" si="162"/>
        <v>2103665.02</v>
      </c>
      <c r="O841" s="31">
        <f t="shared" si="162"/>
        <v>0</v>
      </c>
      <c r="P841" s="31">
        <f t="shared" si="162"/>
        <v>0</v>
      </c>
      <c r="Q841" s="31">
        <f t="shared" si="162"/>
        <v>0</v>
      </c>
      <c r="R841" s="31">
        <f t="shared" si="162"/>
        <v>0</v>
      </c>
      <c r="S841" s="31">
        <f t="shared" si="162"/>
        <v>0</v>
      </c>
      <c r="T841" s="31">
        <f t="shared" si="162"/>
        <v>0</v>
      </c>
      <c r="U841" s="31">
        <f t="shared" si="162"/>
        <v>0</v>
      </c>
      <c r="V841" s="31">
        <f t="shared" si="162"/>
        <v>0</v>
      </c>
      <c r="W841" s="31">
        <f t="shared" si="162"/>
        <v>0</v>
      </c>
      <c r="X841" s="31">
        <f t="shared" si="162"/>
        <v>0</v>
      </c>
      <c r="Y841" s="31">
        <f t="shared" si="162"/>
        <v>0</v>
      </c>
      <c r="Z841" s="31">
        <f t="shared" si="162"/>
        <v>0</v>
      </c>
      <c r="AA841" s="31">
        <f t="shared" si="162"/>
        <v>0</v>
      </c>
      <c r="AB841" s="31">
        <f t="shared" si="162"/>
        <v>0</v>
      </c>
      <c r="AC841" s="31">
        <f t="shared" si="162"/>
        <v>31554.98</v>
      </c>
      <c r="AD841" s="31">
        <f t="shared" si="162"/>
        <v>120000</v>
      </c>
      <c r="AE841" s="31">
        <f t="shared" si="162"/>
        <v>0</v>
      </c>
      <c r="AF841" s="72" t="s">
        <v>776</v>
      </c>
      <c r="AG841" s="72" t="s">
        <v>776</v>
      </c>
      <c r="AH841" s="89" t="s">
        <v>776</v>
      </c>
      <c r="AT841" s="20" t="e">
        <f t="shared" ref="AT841:AT872" si="163">VLOOKUP(C841,AW:AX,2,FALSE)</f>
        <v>#N/A</v>
      </c>
      <c r="BZ841" s="71">
        <v>2255220</v>
      </c>
      <c r="CD841" s="20" t="e">
        <f t="shared" si="147"/>
        <v>#N/A</v>
      </c>
    </row>
    <row r="842" spans="1:82" ht="61.5" x14ac:dyDescent="0.85">
      <c r="A842" s="20">
        <v>1</v>
      </c>
      <c r="B842" s="66">
        <f>SUBTOTAL(103,$A$554:A842)</f>
        <v>273</v>
      </c>
      <c r="C842" s="24" t="s">
        <v>247</v>
      </c>
      <c r="D842" s="31">
        <f>E842+F842+G842+H842+I842+J842+L842+N842+P842+R842+T842+U842+V842+W842+X842+Y842+Z842+AA842+AB842+AC842+AD842+AE842</f>
        <v>2255220</v>
      </c>
      <c r="E842" s="31">
        <v>0</v>
      </c>
      <c r="F842" s="31">
        <v>0</v>
      </c>
      <c r="G842" s="31">
        <v>0</v>
      </c>
      <c r="H842" s="31">
        <v>0</v>
      </c>
      <c r="I842" s="31">
        <v>0</v>
      </c>
      <c r="J842" s="31">
        <v>0</v>
      </c>
      <c r="K842" s="33">
        <v>0</v>
      </c>
      <c r="L842" s="31">
        <v>0</v>
      </c>
      <c r="M842" s="31">
        <v>442.2</v>
      </c>
      <c r="N842" s="31">
        <v>2103665.02</v>
      </c>
      <c r="O842" s="31">
        <v>0</v>
      </c>
      <c r="P842" s="31">
        <v>0</v>
      </c>
      <c r="Q842" s="31">
        <v>0</v>
      </c>
      <c r="R842" s="31">
        <v>0</v>
      </c>
      <c r="S842" s="31">
        <v>0</v>
      </c>
      <c r="T842" s="31">
        <v>0</v>
      </c>
      <c r="U842" s="31">
        <v>0</v>
      </c>
      <c r="V842" s="31">
        <v>0</v>
      </c>
      <c r="W842" s="31">
        <v>0</v>
      </c>
      <c r="X842" s="31">
        <v>0</v>
      </c>
      <c r="Y842" s="31">
        <v>0</v>
      </c>
      <c r="Z842" s="31">
        <v>0</v>
      </c>
      <c r="AA842" s="31">
        <v>0</v>
      </c>
      <c r="AB842" s="31">
        <v>0</v>
      </c>
      <c r="AC842" s="31">
        <f>ROUND(N842*1.5%,2)</f>
        <v>31554.98</v>
      </c>
      <c r="AD842" s="31">
        <v>120000</v>
      </c>
      <c r="AE842" s="31">
        <v>0</v>
      </c>
      <c r="AF842" s="34">
        <v>2021</v>
      </c>
      <c r="AG842" s="34">
        <v>2021</v>
      </c>
      <c r="AH842" s="35">
        <v>2021</v>
      </c>
      <c r="AT842" s="20" t="e">
        <f t="shared" si="163"/>
        <v>#N/A</v>
      </c>
      <c r="BZ842" s="71"/>
      <c r="CD842" s="20" t="e">
        <f t="shared" si="147"/>
        <v>#N/A</v>
      </c>
    </row>
    <row r="843" spans="1:82" ht="61.5" x14ac:dyDescent="0.85">
      <c r="B843" s="24" t="s">
        <v>893</v>
      </c>
      <c r="C843" s="167"/>
      <c r="D843" s="31">
        <f t="shared" ref="D843:AE843" si="164">D844</f>
        <v>2610900</v>
      </c>
      <c r="E843" s="31">
        <f t="shared" si="164"/>
        <v>0</v>
      </c>
      <c r="F843" s="31">
        <f t="shared" si="164"/>
        <v>0</v>
      </c>
      <c r="G843" s="31">
        <f t="shared" si="164"/>
        <v>0</v>
      </c>
      <c r="H843" s="31">
        <f t="shared" si="164"/>
        <v>0</v>
      </c>
      <c r="I843" s="31">
        <f t="shared" si="164"/>
        <v>0</v>
      </c>
      <c r="J843" s="31">
        <f t="shared" si="164"/>
        <v>0</v>
      </c>
      <c r="K843" s="33">
        <f t="shared" si="164"/>
        <v>0</v>
      </c>
      <c r="L843" s="31">
        <f t="shared" si="164"/>
        <v>0</v>
      </c>
      <c r="M843" s="31">
        <f t="shared" si="164"/>
        <v>500</v>
      </c>
      <c r="N843" s="31">
        <f t="shared" si="164"/>
        <v>2454088.67</v>
      </c>
      <c r="O843" s="31">
        <f t="shared" si="164"/>
        <v>0</v>
      </c>
      <c r="P843" s="31">
        <f t="shared" si="164"/>
        <v>0</v>
      </c>
      <c r="Q843" s="31">
        <f t="shared" si="164"/>
        <v>0</v>
      </c>
      <c r="R843" s="31">
        <f t="shared" si="164"/>
        <v>0</v>
      </c>
      <c r="S843" s="31">
        <f t="shared" si="164"/>
        <v>0</v>
      </c>
      <c r="T843" s="31">
        <f t="shared" si="164"/>
        <v>0</v>
      </c>
      <c r="U843" s="31">
        <f t="shared" si="164"/>
        <v>0</v>
      </c>
      <c r="V843" s="31">
        <f t="shared" si="164"/>
        <v>0</v>
      </c>
      <c r="W843" s="31">
        <f t="shared" si="164"/>
        <v>0</v>
      </c>
      <c r="X843" s="31">
        <f t="shared" si="164"/>
        <v>0</v>
      </c>
      <c r="Y843" s="31">
        <f t="shared" si="164"/>
        <v>0</v>
      </c>
      <c r="Z843" s="31">
        <f t="shared" si="164"/>
        <v>0</v>
      </c>
      <c r="AA843" s="31">
        <f t="shared" si="164"/>
        <v>0</v>
      </c>
      <c r="AB843" s="31">
        <f t="shared" si="164"/>
        <v>0</v>
      </c>
      <c r="AC843" s="31">
        <f t="shared" si="164"/>
        <v>36811.33</v>
      </c>
      <c r="AD843" s="31">
        <f t="shared" si="164"/>
        <v>120000</v>
      </c>
      <c r="AE843" s="31">
        <f t="shared" si="164"/>
        <v>0</v>
      </c>
      <c r="AF843" s="72" t="s">
        <v>776</v>
      </c>
      <c r="AG843" s="72" t="s">
        <v>776</v>
      </c>
      <c r="AH843" s="89" t="s">
        <v>776</v>
      </c>
      <c r="AT843" s="20" t="e">
        <f t="shared" si="163"/>
        <v>#N/A</v>
      </c>
      <c r="BZ843" s="71">
        <v>2610900</v>
      </c>
      <c r="CD843" s="20" t="e">
        <f t="shared" si="147"/>
        <v>#N/A</v>
      </c>
    </row>
    <row r="844" spans="1:82" ht="61.5" x14ac:dyDescent="0.85">
      <c r="A844" s="20">
        <v>1</v>
      </c>
      <c r="B844" s="66">
        <f>SUBTOTAL(103,$A$554:A844)</f>
        <v>274</v>
      </c>
      <c r="C844" s="25" t="s">
        <v>2</v>
      </c>
      <c r="D844" s="31">
        <f>E844+F844+G844+H844+I844+J844+L844+N844+P844+R844+T844+U844+V844+W844+X844+Y844+Z844+AA844+AB844+AC844+AD844+AE844</f>
        <v>2610900</v>
      </c>
      <c r="E844" s="31">
        <v>0</v>
      </c>
      <c r="F844" s="31">
        <v>0</v>
      </c>
      <c r="G844" s="31">
        <v>0</v>
      </c>
      <c r="H844" s="31">
        <v>0</v>
      </c>
      <c r="I844" s="31">
        <v>0</v>
      </c>
      <c r="J844" s="31">
        <v>0</v>
      </c>
      <c r="K844" s="33">
        <v>0</v>
      </c>
      <c r="L844" s="31">
        <v>0</v>
      </c>
      <c r="M844" s="31">
        <v>500</v>
      </c>
      <c r="N844" s="31">
        <v>2454088.67</v>
      </c>
      <c r="O844" s="31">
        <v>0</v>
      </c>
      <c r="P844" s="31">
        <v>0</v>
      </c>
      <c r="Q844" s="31">
        <v>0</v>
      </c>
      <c r="R844" s="31">
        <v>0</v>
      </c>
      <c r="S844" s="31">
        <v>0</v>
      </c>
      <c r="T844" s="31">
        <v>0</v>
      </c>
      <c r="U844" s="31">
        <v>0</v>
      </c>
      <c r="V844" s="31">
        <v>0</v>
      </c>
      <c r="W844" s="31">
        <v>0</v>
      </c>
      <c r="X844" s="31">
        <v>0</v>
      </c>
      <c r="Y844" s="31">
        <v>0</v>
      </c>
      <c r="Z844" s="31">
        <v>0</v>
      </c>
      <c r="AA844" s="31">
        <v>0</v>
      </c>
      <c r="AB844" s="31">
        <v>0</v>
      </c>
      <c r="AC844" s="31">
        <f>ROUND(N844*1.5%,2)</f>
        <v>36811.33</v>
      </c>
      <c r="AD844" s="31">
        <v>120000</v>
      </c>
      <c r="AE844" s="31">
        <v>0</v>
      </c>
      <c r="AF844" s="34">
        <v>2021</v>
      </c>
      <c r="AG844" s="34">
        <v>2021</v>
      </c>
      <c r="AH844" s="35">
        <v>2021</v>
      </c>
      <c r="AT844" s="20" t="e">
        <f t="shared" si="163"/>
        <v>#N/A</v>
      </c>
      <c r="BZ844" s="71"/>
      <c r="CD844" s="20" t="e">
        <f t="shared" si="147"/>
        <v>#N/A</v>
      </c>
    </row>
    <row r="845" spans="1:82" ht="61.5" x14ac:dyDescent="0.85">
      <c r="B845" s="24" t="s">
        <v>894</v>
      </c>
      <c r="C845" s="25"/>
      <c r="D845" s="31">
        <f t="shared" ref="D845:AE845" si="165">D846</f>
        <v>3133080</v>
      </c>
      <c r="E845" s="31">
        <f t="shared" si="165"/>
        <v>0</v>
      </c>
      <c r="F845" s="31">
        <f t="shared" si="165"/>
        <v>0</v>
      </c>
      <c r="G845" s="31">
        <f t="shared" si="165"/>
        <v>0</v>
      </c>
      <c r="H845" s="31">
        <f t="shared" si="165"/>
        <v>0</v>
      </c>
      <c r="I845" s="31">
        <f t="shared" si="165"/>
        <v>0</v>
      </c>
      <c r="J845" s="31">
        <f t="shared" si="165"/>
        <v>0</v>
      </c>
      <c r="K845" s="33">
        <f t="shared" si="165"/>
        <v>0</v>
      </c>
      <c r="L845" s="31">
        <f t="shared" si="165"/>
        <v>0</v>
      </c>
      <c r="M845" s="31">
        <f t="shared" si="165"/>
        <v>600</v>
      </c>
      <c r="N845" s="31">
        <f t="shared" si="165"/>
        <v>2938995.07</v>
      </c>
      <c r="O845" s="31">
        <f t="shared" si="165"/>
        <v>0</v>
      </c>
      <c r="P845" s="31">
        <f t="shared" si="165"/>
        <v>0</v>
      </c>
      <c r="Q845" s="31">
        <f t="shared" si="165"/>
        <v>0</v>
      </c>
      <c r="R845" s="31">
        <f t="shared" si="165"/>
        <v>0</v>
      </c>
      <c r="S845" s="31">
        <f t="shared" si="165"/>
        <v>0</v>
      </c>
      <c r="T845" s="31">
        <f t="shared" si="165"/>
        <v>0</v>
      </c>
      <c r="U845" s="31">
        <f t="shared" si="165"/>
        <v>0</v>
      </c>
      <c r="V845" s="31">
        <f t="shared" si="165"/>
        <v>0</v>
      </c>
      <c r="W845" s="31">
        <f t="shared" si="165"/>
        <v>0</v>
      </c>
      <c r="X845" s="31">
        <f t="shared" si="165"/>
        <v>0</v>
      </c>
      <c r="Y845" s="31">
        <f t="shared" si="165"/>
        <v>0</v>
      </c>
      <c r="Z845" s="31">
        <f t="shared" si="165"/>
        <v>0</v>
      </c>
      <c r="AA845" s="31">
        <f t="shared" si="165"/>
        <v>0</v>
      </c>
      <c r="AB845" s="31">
        <f t="shared" si="165"/>
        <v>0</v>
      </c>
      <c r="AC845" s="31">
        <f t="shared" si="165"/>
        <v>44084.93</v>
      </c>
      <c r="AD845" s="31">
        <f t="shared" si="165"/>
        <v>150000</v>
      </c>
      <c r="AE845" s="31">
        <f t="shared" si="165"/>
        <v>0</v>
      </c>
      <c r="AF845" s="72" t="s">
        <v>776</v>
      </c>
      <c r="AG845" s="72" t="s">
        <v>776</v>
      </c>
      <c r="AH845" s="89" t="s">
        <v>776</v>
      </c>
      <c r="AT845" s="20" t="e">
        <f t="shared" si="163"/>
        <v>#N/A</v>
      </c>
      <c r="BZ845" s="71">
        <v>3133080</v>
      </c>
      <c r="CB845" s="71">
        <f>BZ845-D845</f>
        <v>0</v>
      </c>
      <c r="CD845" s="20" t="e">
        <f t="shared" si="147"/>
        <v>#N/A</v>
      </c>
    </row>
    <row r="846" spans="1:82" ht="61.5" x14ac:dyDescent="0.85">
      <c r="A846" s="20">
        <v>1</v>
      </c>
      <c r="B846" s="66">
        <f>SUBTOTAL(103,$A$554:A846)</f>
        <v>275</v>
      </c>
      <c r="C846" s="25" t="s">
        <v>1</v>
      </c>
      <c r="D846" s="31">
        <f>E846+F846+G846+H846+I846+J846+L846+N846+P846+R846+T846+U846+V846+W846+X846+Y846+Z846+AA846+AB846+AC846+AD846+AE846</f>
        <v>3133080</v>
      </c>
      <c r="E846" s="31">
        <v>0</v>
      </c>
      <c r="F846" s="31">
        <v>0</v>
      </c>
      <c r="G846" s="31">
        <v>0</v>
      </c>
      <c r="H846" s="31">
        <v>0</v>
      </c>
      <c r="I846" s="31">
        <v>0</v>
      </c>
      <c r="J846" s="31">
        <v>0</v>
      </c>
      <c r="K846" s="33">
        <v>0</v>
      </c>
      <c r="L846" s="31">
        <v>0</v>
      </c>
      <c r="M846" s="31">
        <v>600</v>
      </c>
      <c r="N846" s="31">
        <v>2938995.07</v>
      </c>
      <c r="O846" s="31">
        <v>0</v>
      </c>
      <c r="P846" s="31">
        <v>0</v>
      </c>
      <c r="Q846" s="31">
        <v>0</v>
      </c>
      <c r="R846" s="31">
        <v>0</v>
      </c>
      <c r="S846" s="31">
        <v>0</v>
      </c>
      <c r="T846" s="31">
        <v>0</v>
      </c>
      <c r="U846" s="31">
        <v>0</v>
      </c>
      <c r="V846" s="31">
        <v>0</v>
      </c>
      <c r="W846" s="31">
        <v>0</v>
      </c>
      <c r="X846" s="31">
        <v>0</v>
      </c>
      <c r="Y846" s="31">
        <v>0</v>
      </c>
      <c r="Z846" s="31">
        <v>0</v>
      </c>
      <c r="AA846" s="31">
        <v>0</v>
      </c>
      <c r="AB846" s="31">
        <v>0</v>
      </c>
      <c r="AC846" s="31">
        <f>ROUND(N846*1.5%,2)</f>
        <v>44084.93</v>
      </c>
      <c r="AD846" s="31">
        <v>150000</v>
      </c>
      <c r="AE846" s="31">
        <v>0</v>
      </c>
      <c r="AF846" s="34">
        <v>2021</v>
      </c>
      <c r="AG846" s="34">
        <v>2021</v>
      </c>
      <c r="AH846" s="35">
        <v>2021</v>
      </c>
      <c r="AT846" s="20" t="e">
        <f t="shared" si="163"/>
        <v>#N/A</v>
      </c>
      <c r="BZ846" s="71"/>
      <c r="CD846" s="20" t="e">
        <f t="shared" si="147"/>
        <v>#N/A</v>
      </c>
    </row>
    <row r="847" spans="1:82" ht="61.5" x14ac:dyDescent="0.85">
      <c r="B847" s="24" t="s">
        <v>853</v>
      </c>
      <c r="C847" s="166"/>
      <c r="D847" s="31">
        <f t="shared" ref="D847:AE847" si="166">D848</f>
        <v>8458120</v>
      </c>
      <c r="E847" s="31">
        <f t="shared" si="166"/>
        <v>0</v>
      </c>
      <c r="F847" s="31">
        <f t="shared" si="166"/>
        <v>0</v>
      </c>
      <c r="G847" s="31">
        <f t="shared" si="166"/>
        <v>0</v>
      </c>
      <c r="H847" s="31">
        <f t="shared" si="166"/>
        <v>0</v>
      </c>
      <c r="I847" s="31">
        <f t="shared" si="166"/>
        <v>0</v>
      </c>
      <c r="J847" s="31">
        <f t="shared" si="166"/>
        <v>0</v>
      </c>
      <c r="K847" s="33">
        <f t="shared" si="166"/>
        <v>0</v>
      </c>
      <c r="L847" s="31">
        <f t="shared" si="166"/>
        <v>0</v>
      </c>
      <c r="M847" s="31">
        <f t="shared" si="166"/>
        <v>2000</v>
      </c>
      <c r="N847" s="31">
        <f t="shared" si="166"/>
        <v>8185339.9000000004</v>
      </c>
      <c r="O847" s="31">
        <f t="shared" si="166"/>
        <v>0</v>
      </c>
      <c r="P847" s="31">
        <f t="shared" si="166"/>
        <v>0</v>
      </c>
      <c r="Q847" s="31">
        <f t="shared" si="166"/>
        <v>0</v>
      </c>
      <c r="R847" s="31">
        <f t="shared" si="166"/>
        <v>0</v>
      </c>
      <c r="S847" s="31">
        <f t="shared" si="166"/>
        <v>0</v>
      </c>
      <c r="T847" s="31">
        <f t="shared" si="166"/>
        <v>0</v>
      </c>
      <c r="U847" s="31">
        <f t="shared" si="166"/>
        <v>0</v>
      </c>
      <c r="V847" s="31">
        <f t="shared" si="166"/>
        <v>0</v>
      </c>
      <c r="W847" s="31">
        <f t="shared" si="166"/>
        <v>0</v>
      </c>
      <c r="X847" s="31">
        <f t="shared" si="166"/>
        <v>0</v>
      </c>
      <c r="Y847" s="31">
        <f t="shared" si="166"/>
        <v>0</v>
      </c>
      <c r="Z847" s="31">
        <f t="shared" si="166"/>
        <v>0</v>
      </c>
      <c r="AA847" s="31">
        <f t="shared" si="166"/>
        <v>0</v>
      </c>
      <c r="AB847" s="31">
        <f t="shared" si="166"/>
        <v>0</v>
      </c>
      <c r="AC847" s="31">
        <f t="shared" si="166"/>
        <v>122780.1</v>
      </c>
      <c r="AD847" s="31">
        <f t="shared" si="166"/>
        <v>150000</v>
      </c>
      <c r="AE847" s="31">
        <f t="shared" si="166"/>
        <v>0</v>
      </c>
      <c r="AF847" s="72" t="s">
        <v>776</v>
      </c>
      <c r="AG847" s="72" t="s">
        <v>776</v>
      </c>
      <c r="AH847" s="89" t="s">
        <v>776</v>
      </c>
      <c r="AT847" s="20" t="e">
        <f t="shared" si="163"/>
        <v>#N/A</v>
      </c>
      <c r="BZ847" s="71">
        <v>7250046.1200000001</v>
      </c>
      <c r="CB847" s="71">
        <f>BZ847-D847</f>
        <v>-1208073.8799999999</v>
      </c>
      <c r="CD847" s="20" t="e">
        <f t="shared" si="147"/>
        <v>#N/A</v>
      </c>
    </row>
    <row r="848" spans="1:82" ht="61.5" x14ac:dyDescent="0.85">
      <c r="A848" s="20">
        <v>1</v>
      </c>
      <c r="B848" s="66">
        <f>SUBTOTAL(103,$A$554:A848)</f>
        <v>276</v>
      </c>
      <c r="C848" s="24" t="s">
        <v>718</v>
      </c>
      <c r="D848" s="31">
        <f>E848+F848+G848+H848+I848+J848+L848+N848+P848+R848+T848+U848+V848+W848+X848+Y848+Z848+AA848+AB848+AC848+AD848+AE848</f>
        <v>8458120</v>
      </c>
      <c r="E848" s="31">
        <v>0</v>
      </c>
      <c r="F848" s="31">
        <v>0</v>
      </c>
      <c r="G848" s="31">
        <v>0</v>
      </c>
      <c r="H848" s="31">
        <v>0</v>
      </c>
      <c r="I848" s="31">
        <v>0</v>
      </c>
      <c r="J848" s="31">
        <v>0</v>
      </c>
      <c r="K848" s="33">
        <v>0</v>
      </c>
      <c r="L848" s="31">
        <v>0</v>
      </c>
      <c r="M848" s="31">
        <v>2000</v>
      </c>
      <c r="N848" s="31">
        <v>8185339.9000000004</v>
      </c>
      <c r="O848" s="31">
        <v>0</v>
      </c>
      <c r="P848" s="31">
        <v>0</v>
      </c>
      <c r="Q848" s="31">
        <v>0</v>
      </c>
      <c r="R848" s="31">
        <v>0</v>
      </c>
      <c r="S848" s="31">
        <v>0</v>
      </c>
      <c r="T848" s="31">
        <v>0</v>
      </c>
      <c r="U848" s="31">
        <v>0</v>
      </c>
      <c r="V848" s="31">
        <v>0</v>
      </c>
      <c r="W848" s="31">
        <v>0</v>
      </c>
      <c r="X848" s="31">
        <v>0</v>
      </c>
      <c r="Y848" s="31">
        <v>0</v>
      </c>
      <c r="Z848" s="31">
        <v>0</v>
      </c>
      <c r="AA848" s="31">
        <v>0</v>
      </c>
      <c r="AB848" s="31">
        <v>0</v>
      </c>
      <c r="AC848" s="31">
        <f>ROUND(N848*1.5%,2)</f>
        <v>122780.1</v>
      </c>
      <c r="AD848" s="31">
        <v>150000</v>
      </c>
      <c r="AE848" s="31">
        <v>0</v>
      </c>
      <c r="AF848" s="34">
        <v>2021</v>
      </c>
      <c r="AG848" s="34">
        <v>2021</v>
      </c>
      <c r="AH848" s="35">
        <v>2021</v>
      </c>
      <c r="AT848" s="20" t="e">
        <f t="shared" si="163"/>
        <v>#N/A</v>
      </c>
      <c r="BZ848" s="71"/>
      <c r="CD848" s="20" t="e">
        <f t="shared" si="147"/>
        <v>#N/A</v>
      </c>
    </row>
    <row r="849" spans="1:82" ht="61.5" x14ac:dyDescent="0.85">
      <c r="B849" s="24" t="s">
        <v>895</v>
      </c>
      <c r="C849" s="24"/>
      <c r="D849" s="31">
        <f t="shared" ref="D849:AE849" si="167">D850</f>
        <v>2537436</v>
      </c>
      <c r="E849" s="31">
        <f t="shared" si="167"/>
        <v>0</v>
      </c>
      <c r="F849" s="31">
        <f t="shared" si="167"/>
        <v>0</v>
      </c>
      <c r="G849" s="31">
        <f t="shared" si="167"/>
        <v>0</v>
      </c>
      <c r="H849" s="31">
        <f t="shared" si="167"/>
        <v>0</v>
      </c>
      <c r="I849" s="31">
        <f t="shared" si="167"/>
        <v>0</v>
      </c>
      <c r="J849" s="31">
        <f t="shared" si="167"/>
        <v>0</v>
      </c>
      <c r="K849" s="33">
        <f t="shared" si="167"/>
        <v>0</v>
      </c>
      <c r="L849" s="31">
        <f t="shared" si="167"/>
        <v>0</v>
      </c>
      <c r="M849" s="31">
        <f t="shared" si="167"/>
        <v>600</v>
      </c>
      <c r="N849" s="31">
        <f t="shared" si="167"/>
        <v>2371858.13</v>
      </c>
      <c r="O849" s="31">
        <f t="shared" si="167"/>
        <v>0</v>
      </c>
      <c r="P849" s="31">
        <f t="shared" si="167"/>
        <v>0</v>
      </c>
      <c r="Q849" s="31">
        <f t="shared" si="167"/>
        <v>0</v>
      </c>
      <c r="R849" s="31">
        <f t="shared" si="167"/>
        <v>0</v>
      </c>
      <c r="S849" s="31">
        <f t="shared" si="167"/>
        <v>0</v>
      </c>
      <c r="T849" s="31">
        <f t="shared" si="167"/>
        <v>0</v>
      </c>
      <c r="U849" s="31">
        <f t="shared" si="167"/>
        <v>0</v>
      </c>
      <c r="V849" s="31">
        <f t="shared" si="167"/>
        <v>0</v>
      </c>
      <c r="W849" s="31">
        <f t="shared" si="167"/>
        <v>0</v>
      </c>
      <c r="X849" s="31">
        <f t="shared" si="167"/>
        <v>0</v>
      </c>
      <c r="Y849" s="31">
        <f t="shared" si="167"/>
        <v>0</v>
      </c>
      <c r="Z849" s="31">
        <f t="shared" si="167"/>
        <v>0</v>
      </c>
      <c r="AA849" s="31">
        <f t="shared" si="167"/>
        <v>0</v>
      </c>
      <c r="AB849" s="31">
        <f t="shared" si="167"/>
        <v>0</v>
      </c>
      <c r="AC849" s="31">
        <f t="shared" si="167"/>
        <v>35577.870000000003</v>
      </c>
      <c r="AD849" s="31">
        <f t="shared" si="167"/>
        <v>130000</v>
      </c>
      <c r="AE849" s="31">
        <f t="shared" si="167"/>
        <v>0</v>
      </c>
      <c r="AF849" s="72" t="s">
        <v>776</v>
      </c>
      <c r="AG849" s="72" t="s">
        <v>776</v>
      </c>
      <c r="AH849" s="89" t="s">
        <v>776</v>
      </c>
      <c r="AT849" s="20" t="e">
        <f t="shared" si="163"/>
        <v>#N/A</v>
      </c>
      <c r="BZ849" s="71">
        <v>2473090.71</v>
      </c>
      <c r="CB849" s="71">
        <f>BZ849-D849</f>
        <v>-64345.290000000037</v>
      </c>
      <c r="CD849" s="20" t="e">
        <f t="shared" si="147"/>
        <v>#N/A</v>
      </c>
    </row>
    <row r="850" spans="1:82" ht="61.5" x14ac:dyDescent="0.85">
      <c r="A850" s="20">
        <v>1</v>
      </c>
      <c r="B850" s="66">
        <f>SUBTOTAL(103,$A$554:A850)</f>
        <v>277</v>
      </c>
      <c r="C850" s="24" t="s">
        <v>724</v>
      </c>
      <c r="D850" s="31">
        <f>E850+F850+G850+H850+I850+J850+L850+N850+P850+R850+T850+U850+V850+W850+X850+Y850+Z850+AA850+AB850+AC850+AD850+AE850</f>
        <v>2537436</v>
      </c>
      <c r="E850" s="31">
        <v>0</v>
      </c>
      <c r="F850" s="31">
        <v>0</v>
      </c>
      <c r="G850" s="31">
        <v>0</v>
      </c>
      <c r="H850" s="31">
        <v>0</v>
      </c>
      <c r="I850" s="31">
        <v>0</v>
      </c>
      <c r="J850" s="31">
        <v>0</v>
      </c>
      <c r="K850" s="33">
        <v>0</v>
      </c>
      <c r="L850" s="31">
        <v>0</v>
      </c>
      <c r="M850" s="31">
        <v>600</v>
      </c>
      <c r="N850" s="31">
        <v>2371858.13</v>
      </c>
      <c r="O850" s="31">
        <v>0</v>
      </c>
      <c r="P850" s="31">
        <v>0</v>
      </c>
      <c r="Q850" s="31">
        <v>0</v>
      </c>
      <c r="R850" s="31">
        <v>0</v>
      </c>
      <c r="S850" s="31">
        <v>0</v>
      </c>
      <c r="T850" s="31">
        <v>0</v>
      </c>
      <c r="U850" s="31">
        <v>0</v>
      </c>
      <c r="V850" s="31">
        <v>0</v>
      </c>
      <c r="W850" s="31">
        <v>0</v>
      </c>
      <c r="X850" s="31">
        <v>0</v>
      </c>
      <c r="Y850" s="31">
        <v>0</v>
      </c>
      <c r="Z850" s="31">
        <v>0</v>
      </c>
      <c r="AA850" s="31">
        <v>0</v>
      </c>
      <c r="AB850" s="31">
        <v>0</v>
      </c>
      <c r="AC850" s="31">
        <f>ROUND(N850*1.5%,2)</f>
        <v>35577.870000000003</v>
      </c>
      <c r="AD850" s="31">
        <v>130000</v>
      </c>
      <c r="AE850" s="31">
        <v>0</v>
      </c>
      <c r="AF850" s="34">
        <v>2021</v>
      </c>
      <c r="AG850" s="34">
        <v>2021</v>
      </c>
      <c r="AH850" s="35">
        <v>2021</v>
      </c>
      <c r="AT850" s="20" t="e">
        <f t="shared" si="163"/>
        <v>#N/A</v>
      </c>
      <c r="BZ850" s="71"/>
      <c r="CD850" s="20" t="e">
        <f t="shared" si="147"/>
        <v>#N/A</v>
      </c>
    </row>
    <row r="851" spans="1:82" ht="61.5" x14ac:dyDescent="0.85">
      <c r="B851" s="24" t="s">
        <v>854</v>
      </c>
      <c r="C851" s="24"/>
      <c r="D851" s="31">
        <f t="shared" ref="D851:AE851" si="168">D852</f>
        <v>2968784.92</v>
      </c>
      <c r="E851" s="31">
        <f t="shared" si="168"/>
        <v>0</v>
      </c>
      <c r="F851" s="31">
        <f t="shared" si="168"/>
        <v>0</v>
      </c>
      <c r="G851" s="31">
        <f t="shared" si="168"/>
        <v>0</v>
      </c>
      <c r="H851" s="31">
        <f t="shared" si="168"/>
        <v>0</v>
      </c>
      <c r="I851" s="31">
        <f t="shared" si="168"/>
        <v>0</v>
      </c>
      <c r="J851" s="31">
        <f t="shared" si="168"/>
        <v>0</v>
      </c>
      <c r="K851" s="33">
        <f t="shared" si="168"/>
        <v>0</v>
      </c>
      <c r="L851" s="31">
        <f t="shared" si="168"/>
        <v>0</v>
      </c>
      <c r="M851" s="31">
        <f t="shared" si="168"/>
        <v>702</v>
      </c>
      <c r="N851" s="31">
        <f t="shared" si="168"/>
        <v>2796847.41</v>
      </c>
      <c r="O851" s="31">
        <f t="shared" si="168"/>
        <v>0</v>
      </c>
      <c r="P851" s="31">
        <f t="shared" si="168"/>
        <v>0</v>
      </c>
      <c r="Q851" s="31">
        <f t="shared" si="168"/>
        <v>0</v>
      </c>
      <c r="R851" s="31">
        <f t="shared" si="168"/>
        <v>0</v>
      </c>
      <c r="S851" s="31">
        <f t="shared" si="168"/>
        <v>0</v>
      </c>
      <c r="T851" s="31">
        <f t="shared" si="168"/>
        <v>0</v>
      </c>
      <c r="U851" s="31">
        <f t="shared" si="168"/>
        <v>0</v>
      </c>
      <c r="V851" s="31">
        <f t="shared" si="168"/>
        <v>0</v>
      </c>
      <c r="W851" s="31">
        <f t="shared" si="168"/>
        <v>0</v>
      </c>
      <c r="X851" s="31">
        <f t="shared" si="168"/>
        <v>0</v>
      </c>
      <c r="Y851" s="31">
        <f t="shared" si="168"/>
        <v>0</v>
      </c>
      <c r="Z851" s="31">
        <f t="shared" si="168"/>
        <v>0</v>
      </c>
      <c r="AA851" s="31">
        <f t="shared" si="168"/>
        <v>0</v>
      </c>
      <c r="AB851" s="31">
        <f t="shared" si="168"/>
        <v>0</v>
      </c>
      <c r="AC851" s="31">
        <f t="shared" si="168"/>
        <v>41952.71</v>
      </c>
      <c r="AD851" s="31">
        <f t="shared" si="168"/>
        <v>129984.8</v>
      </c>
      <c r="AE851" s="31">
        <f t="shared" si="168"/>
        <v>0</v>
      </c>
      <c r="AF851" s="72" t="s">
        <v>776</v>
      </c>
      <c r="AG851" s="72" t="s">
        <v>776</v>
      </c>
      <c r="AH851" s="89" t="s">
        <v>776</v>
      </c>
      <c r="AT851" s="20" t="e">
        <f t="shared" si="163"/>
        <v>#N/A</v>
      </c>
      <c r="BZ851" s="71">
        <v>2622646.19</v>
      </c>
      <c r="CB851" s="71">
        <f>BZ851-D851</f>
        <v>-346138.73</v>
      </c>
      <c r="CD851" s="20" t="e">
        <f t="shared" si="147"/>
        <v>#N/A</v>
      </c>
    </row>
    <row r="852" spans="1:82" ht="61.5" x14ac:dyDescent="0.85">
      <c r="A852" s="20">
        <v>1</v>
      </c>
      <c r="B852" s="66">
        <f>SUBTOTAL(103,$A$554:A852)</f>
        <v>278</v>
      </c>
      <c r="C852" s="24" t="s">
        <v>721</v>
      </c>
      <c r="D852" s="31">
        <f>E852+F852+G852+H852+I852+J852+L852+N852+P852+R852+T852+U852+V852+W852+X852+Y852+Z852+AA852+AB852+AC852+AD852+AE852</f>
        <v>2968784.92</v>
      </c>
      <c r="E852" s="31">
        <v>0</v>
      </c>
      <c r="F852" s="31">
        <v>0</v>
      </c>
      <c r="G852" s="31">
        <v>0</v>
      </c>
      <c r="H852" s="31">
        <v>0</v>
      </c>
      <c r="I852" s="31">
        <v>0</v>
      </c>
      <c r="J852" s="31">
        <v>0</v>
      </c>
      <c r="K852" s="33">
        <v>0</v>
      </c>
      <c r="L852" s="31">
        <v>0</v>
      </c>
      <c r="M852" s="31">
        <v>702</v>
      </c>
      <c r="N852" s="31">
        <v>2796847.41</v>
      </c>
      <c r="O852" s="31">
        <v>0</v>
      </c>
      <c r="P852" s="31">
        <v>0</v>
      </c>
      <c r="Q852" s="31">
        <v>0</v>
      </c>
      <c r="R852" s="31">
        <v>0</v>
      </c>
      <c r="S852" s="31">
        <v>0</v>
      </c>
      <c r="T852" s="31">
        <v>0</v>
      </c>
      <c r="U852" s="31">
        <v>0</v>
      </c>
      <c r="V852" s="31">
        <v>0</v>
      </c>
      <c r="W852" s="31">
        <v>0</v>
      </c>
      <c r="X852" s="31">
        <v>0</v>
      </c>
      <c r="Y852" s="31">
        <v>0</v>
      </c>
      <c r="Z852" s="31">
        <v>0</v>
      </c>
      <c r="AA852" s="31">
        <v>0</v>
      </c>
      <c r="AB852" s="31">
        <v>0</v>
      </c>
      <c r="AC852" s="31">
        <f>ROUND(N852*1.5%,2)</f>
        <v>41952.71</v>
      </c>
      <c r="AD852" s="31">
        <f>130000.8-16</f>
        <v>129984.8</v>
      </c>
      <c r="AE852" s="31">
        <v>0</v>
      </c>
      <c r="AF852" s="34">
        <v>2021</v>
      </c>
      <c r="AG852" s="34">
        <v>2021</v>
      </c>
      <c r="AH852" s="35">
        <v>2021</v>
      </c>
      <c r="AT852" s="20" t="e">
        <f t="shared" si="163"/>
        <v>#N/A</v>
      </c>
      <c r="BZ852" s="71"/>
      <c r="CD852" s="20" t="e">
        <f t="shared" si="147"/>
        <v>#N/A</v>
      </c>
    </row>
    <row r="853" spans="1:82" ht="61.5" x14ac:dyDescent="0.85">
      <c r="B853" s="24" t="s">
        <v>856</v>
      </c>
      <c r="C853" s="166"/>
      <c r="D853" s="31">
        <f t="shared" ref="D853:AE853" si="169">SUM(D854:D861)</f>
        <v>29283340</v>
      </c>
      <c r="E853" s="31">
        <f t="shared" si="169"/>
        <v>0</v>
      </c>
      <c r="F853" s="31">
        <f t="shared" si="169"/>
        <v>0</v>
      </c>
      <c r="G853" s="31">
        <f t="shared" si="169"/>
        <v>0</v>
      </c>
      <c r="H853" s="31">
        <f t="shared" si="169"/>
        <v>0</v>
      </c>
      <c r="I853" s="31">
        <f t="shared" si="169"/>
        <v>0</v>
      </c>
      <c r="J853" s="31">
        <f t="shared" si="169"/>
        <v>0</v>
      </c>
      <c r="K853" s="33">
        <f t="shared" si="169"/>
        <v>0</v>
      </c>
      <c r="L853" s="31">
        <f t="shared" si="169"/>
        <v>0</v>
      </c>
      <c r="M853" s="31">
        <f t="shared" si="169"/>
        <v>6038.4199999999992</v>
      </c>
      <c r="N853" s="31">
        <f t="shared" si="169"/>
        <v>27668315.270000003</v>
      </c>
      <c r="O853" s="31">
        <f t="shared" si="169"/>
        <v>0</v>
      </c>
      <c r="P853" s="31">
        <f t="shared" si="169"/>
        <v>0</v>
      </c>
      <c r="Q853" s="31">
        <f t="shared" si="169"/>
        <v>0</v>
      </c>
      <c r="R853" s="31">
        <f t="shared" si="169"/>
        <v>0</v>
      </c>
      <c r="S853" s="31">
        <f t="shared" si="169"/>
        <v>0</v>
      </c>
      <c r="T853" s="31">
        <f t="shared" si="169"/>
        <v>0</v>
      </c>
      <c r="U853" s="31">
        <f t="shared" si="169"/>
        <v>0</v>
      </c>
      <c r="V853" s="31">
        <f t="shared" si="169"/>
        <v>0</v>
      </c>
      <c r="W853" s="31">
        <f t="shared" si="169"/>
        <v>0</v>
      </c>
      <c r="X853" s="31">
        <f t="shared" si="169"/>
        <v>0</v>
      </c>
      <c r="Y853" s="31">
        <f t="shared" si="169"/>
        <v>0</v>
      </c>
      <c r="Z853" s="31">
        <f t="shared" si="169"/>
        <v>0</v>
      </c>
      <c r="AA853" s="31">
        <f t="shared" si="169"/>
        <v>0</v>
      </c>
      <c r="AB853" s="31">
        <f t="shared" si="169"/>
        <v>0</v>
      </c>
      <c r="AC853" s="31">
        <f t="shared" si="169"/>
        <v>415024.73</v>
      </c>
      <c r="AD853" s="31">
        <f t="shared" si="169"/>
        <v>1200000</v>
      </c>
      <c r="AE853" s="31">
        <f t="shared" si="169"/>
        <v>0</v>
      </c>
      <c r="AF853" s="72" t="s">
        <v>776</v>
      </c>
      <c r="AG853" s="72" t="s">
        <v>776</v>
      </c>
      <c r="AH853" s="89" t="s">
        <v>776</v>
      </c>
      <c r="AT853" s="20" t="e">
        <f t="shared" si="163"/>
        <v>#N/A</v>
      </c>
      <c r="BZ853" s="71">
        <v>29283340</v>
      </c>
      <c r="CD853" s="20" t="e">
        <f t="shared" si="147"/>
        <v>#N/A</v>
      </c>
    </row>
    <row r="854" spans="1:82" ht="61.5" x14ac:dyDescent="0.85">
      <c r="A854" s="20">
        <v>1</v>
      </c>
      <c r="B854" s="66">
        <f>SUBTOTAL(103,$A$554:A854)</f>
        <v>279</v>
      </c>
      <c r="C854" s="24" t="s">
        <v>124</v>
      </c>
      <c r="D854" s="31">
        <f t="shared" ref="D854:D861" si="170">E854+F854+G854+H854+I854+J854+L854+N854+P854+R854+T854+U854+V854+W854+X854+Y854+Z854+AA854+AB854+AC854+AD854+AE854</f>
        <v>3312500</v>
      </c>
      <c r="E854" s="31">
        <v>0</v>
      </c>
      <c r="F854" s="31">
        <v>0</v>
      </c>
      <c r="G854" s="31">
        <v>0</v>
      </c>
      <c r="H854" s="31">
        <v>0</v>
      </c>
      <c r="I854" s="31">
        <v>0</v>
      </c>
      <c r="J854" s="31">
        <v>0</v>
      </c>
      <c r="K854" s="33">
        <v>0</v>
      </c>
      <c r="L854" s="31">
        <v>0</v>
      </c>
      <c r="M854" s="31">
        <v>662.5</v>
      </c>
      <c r="N854" s="31">
        <v>3115763.55</v>
      </c>
      <c r="O854" s="31">
        <v>0</v>
      </c>
      <c r="P854" s="31">
        <v>0</v>
      </c>
      <c r="Q854" s="31">
        <v>0</v>
      </c>
      <c r="R854" s="31">
        <v>0</v>
      </c>
      <c r="S854" s="31">
        <v>0</v>
      </c>
      <c r="T854" s="31">
        <v>0</v>
      </c>
      <c r="U854" s="31">
        <v>0</v>
      </c>
      <c r="V854" s="31">
        <v>0</v>
      </c>
      <c r="W854" s="31">
        <v>0</v>
      </c>
      <c r="X854" s="31">
        <v>0</v>
      </c>
      <c r="Y854" s="31">
        <v>0</v>
      </c>
      <c r="Z854" s="31">
        <v>0</v>
      </c>
      <c r="AA854" s="31">
        <v>0</v>
      </c>
      <c r="AB854" s="31">
        <v>0</v>
      </c>
      <c r="AC854" s="31">
        <f t="shared" ref="AC854:AC861" si="171">ROUND(N854*1.5%,2)</f>
        <v>46736.45</v>
      </c>
      <c r="AD854" s="31">
        <v>150000</v>
      </c>
      <c r="AE854" s="31">
        <v>0</v>
      </c>
      <c r="AF854" s="34">
        <v>2021</v>
      </c>
      <c r="AG854" s="34">
        <v>2021</v>
      </c>
      <c r="AH854" s="35">
        <v>2021</v>
      </c>
      <c r="AT854" s="20" t="e">
        <f t="shared" si="163"/>
        <v>#N/A</v>
      </c>
      <c r="BZ854" s="71"/>
      <c r="CD854" s="20" t="e">
        <f t="shared" si="147"/>
        <v>#N/A</v>
      </c>
    </row>
    <row r="855" spans="1:82" ht="61.5" x14ac:dyDescent="0.85">
      <c r="A855" s="20">
        <v>1</v>
      </c>
      <c r="B855" s="66">
        <f>SUBTOTAL(103,$A$554:A855)</f>
        <v>280</v>
      </c>
      <c r="C855" s="24" t="s">
        <v>129</v>
      </c>
      <c r="D855" s="31">
        <f t="shared" si="170"/>
        <v>3771000</v>
      </c>
      <c r="E855" s="31">
        <v>0</v>
      </c>
      <c r="F855" s="31">
        <v>0</v>
      </c>
      <c r="G855" s="31">
        <v>0</v>
      </c>
      <c r="H855" s="31">
        <v>0</v>
      </c>
      <c r="I855" s="31">
        <v>0</v>
      </c>
      <c r="J855" s="31">
        <v>0</v>
      </c>
      <c r="K855" s="33">
        <v>0</v>
      </c>
      <c r="L855" s="31">
        <v>0</v>
      </c>
      <c r="M855" s="31">
        <v>754.2</v>
      </c>
      <c r="N855" s="31">
        <v>3567487.68</v>
      </c>
      <c r="O855" s="31">
        <v>0</v>
      </c>
      <c r="P855" s="31">
        <v>0</v>
      </c>
      <c r="Q855" s="31">
        <v>0</v>
      </c>
      <c r="R855" s="31">
        <v>0</v>
      </c>
      <c r="S855" s="31">
        <v>0</v>
      </c>
      <c r="T855" s="31">
        <v>0</v>
      </c>
      <c r="U855" s="31">
        <v>0</v>
      </c>
      <c r="V855" s="31">
        <v>0</v>
      </c>
      <c r="W855" s="31">
        <v>0</v>
      </c>
      <c r="X855" s="31">
        <v>0</v>
      </c>
      <c r="Y855" s="31">
        <v>0</v>
      </c>
      <c r="Z855" s="31">
        <v>0</v>
      </c>
      <c r="AA855" s="31">
        <v>0</v>
      </c>
      <c r="AB855" s="31">
        <v>0</v>
      </c>
      <c r="AC855" s="31">
        <f t="shared" si="171"/>
        <v>53512.32</v>
      </c>
      <c r="AD855" s="31">
        <v>150000</v>
      </c>
      <c r="AE855" s="31">
        <v>0</v>
      </c>
      <c r="AF855" s="34">
        <v>2021</v>
      </c>
      <c r="AG855" s="34">
        <v>2021</v>
      </c>
      <c r="AH855" s="35">
        <v>2021</v>
      </c>
      <c r="AT855" s="20" t="e">
        <f t="shared" si="163"/>
        <v>#N/A</v>
      </c>
      <c r="BZ855" s="71"/>
      <c r="CD855" s="20" t="e">
        <f t="shared" ref="CD855:CD918" si="172">VLOOKUP(C855,CE:CF,2,FALSE)</f>
        <v>#N/A</v>
      </c>
    </row>
    <row r="856" spans="1:82" ht="61.5" x14ac:dyDescent="0.85">
      <c r="A856" s="20">
        <v>1</v>
      </c>
      <c r="B856" s="66">
        <f>SUBTOTAL(103,$A$554:A856)</f>
        <v>281</v>
      </c>
      <c r="C856" s="24" t="s">
        <v>127</v>
      </c>
      <c r="D856" s="31">
        <f t="shared" si="170"/>
        <v>4430000</v>
      </c>
      <c r="E856" s="31">
        <v>0</v>
      </c>
      <c r="F856" s="31">
        <v>0</v>
      </c>
      <c r="G856" s="31">
        <v>0</v>
      </c>
      <c r="H856" s="31">
        <v>0</v>
      </c>
      <c r="I856" s="31">
        <v>0</v>
      </c>
      <c r="J856" s="31">
        <v>0</v>
      </c>
      <c r="K856" s="33">
        <v>0</v>
      </c>
      <c r="L856" s="31">
        <v>0</v>
      </c>
      <c r="M856" s="31">
        <v>886</v>
      </c>
      <c r="N856" s="31">
        <v>4216748.7699999996</v>
      </c>
      <c r="O856" s="31">
        <v>0</v>
      </c>
      <c r="P856" s="31">
        <v>0</v>
      </c>
      <c r="Q856" s="31">
        <v>0</v>
      </c>
      <c r="R856" s="31">
        <v>0</v>
      </c>
      <c r="S856" s="31">
        <v>0</v>
      </c>
      <c r="T856" s="31">
        <v>0</v>
      </c>
      <c r="U856" s="31">
        <v>0</v>
      </c>
      <c r="V856" s="31">
        <v>0</v>
      </c>
      <c r="W856" s="31">
        <v>0</v>
      </c>
      <c r="X856" s="31">
        <v>0</v>
      </c>
      <c r="Y856" s="31">
        <v>0</v>
      </c>
      <c r="Z856" s="31">
        <v>0</v>
      </c>
      <c r="AA856" s="31">
        <v>0</v>
      </c>
      <c r="AB856" s="31">
        <v>0</v>
      </c>
      <c r="AC856" s="31">
        <f t="shared" si="171"/>
        <v>63251.23</v>
      </c>
      <c r="AD856" s="31">
        <v>150000</v>
      </c>
      <c r="AE856" s="31">
        <v>0</v>
      </c>
      <c r="AF856" s="34">
        <v>2021</v>
      </c>
      <c r="AG856" s="34">
        <v>2021</v>
      </c>
      <c r="AH856" s="35">
        <v>2021</v>
      </c>
      <c r="AT856" s="20" t="e">
        <f t="shared" si="163"/>
        <v>#N/A</v>
      </c>
      <c r="BZ856" s="71"/>
      <c r="CD856" s="20" t="e">
        <f t="shared" si="172"/>
        <v>#N/A</v>
      </c>
    </row>
    <row r="857" spans="1:82" ht="61.5" x14ac:dyDescent="0.85">
      <c r="A857" s="20">
        <v>1</v>
      </c>
      <c r="B857" s="66">
        <f>SUBTOTAL(103,$A$554:A857)</f>
        <v>282</v>
      </c>
      <c r="C857" s="24" t="s">
        <v>130</v>
      </c>
      <c r="D857" s="31">
        <f t="shared" si="170"/>
        <v>3350000</v>
      </c>
      <c r="E857" s="31">
        <v>0</v>
      </c>
      <c r="F857" s="31">
        <v>0</v>
      </c>
      <c r="G857" s="31">
        <v>0</v>
      </c>
      <c r="H857" s="31">
        <v>0</v>
      </c>
      <c r="I857" s="31">
        <v>0</v>
      </c>
      <c r="J857" s="31">
        <v>0</v>
      </c>
      <c r="K857" s="33">
        <v>0</v>
      </c>
      <c r="L857" s="31">
        <v>0</v>
      </c>
      <c r="M857" s="31">
        <v>670</v>
      </c>
      <c r="N857" s="31">
        <v>3152709.36</v>
      </c>
      <c r="O857" s="31">
        <v>0</v>
      </c>
      <c r="P857" s="31">
        <v>0</v>
      </c>
      <c r="Q857" s="31">
        <v>0</v>
      </c>
      <c r="R857" s="31">
        <v>0</v>
      </c>
      <c r="S857" s="31">
        <v>0</v>
      </c>
      <c r="T857" s="31">
        <v>0</v>
      </c>
      <c r="U857" s="31">
        <v>0</v>
      </c>
      <c r="V857" s="31">
        <v>0</v>
      </c>
      <c r="W857" s="31">
        <v>0</v>
      </c>
      <c r="X857" s="31">
        <v>0</v>
      </c>
      <c r="Y857" s="31">
        <v>0</v>
      </c>
      <c r="Z857" s="31">
        <v>0</v>
      </c>
      <c r="AA857" s="31">
        <v>0</v>
      </c>
      <c r="AB857" s="31">
        <v>0</v>
      </c>
      <c r="AC857" s="31">
        <f t="shared" si="171"/>
        <v>47290.64</v>
      </c>
      <c r="AD857" s="31">
        <v>150000</v>
      </c>
      <c r="AE857" s="31">
        <v>0</v>
      </c>
      <c r="AF857" s="34">
        <v>2021</v>
      </c>
      <c r="AG857" s="34">
        <v>2021</v>
      </c>
      <c r="AH857" s="35">
        <v>2021</v>
      </c>
      <c r="AT857" s="20">
        <f t="shared" si="163"/>
        <v>1</v>
      </c>
      <c r="BZ857" s="71"/>
      <c r="CD857" s="20" t="e">
        <f t="shared" si="172"/>
        <v>#N/A</v>
      </c>
    </row>
    <row r="858" spans="1:82" ht="61.5" x14ac:dyDescent="0.85">
      <c r="A858" s="20">
        <v>1</v>
      </c>
      <c r="B858" s="66">
        <f>SUBTOTAL(103,$A$554:A858)</f>
        <v>283</v>
      </c>
      <c r="C858" s="24" t="s">
        <v>128</v>
      </c>
      <c r="D858" s="31">
        <f t="shared" si="170"/>
        <v>3080600</v>
      </c>
      <c r="E858" s="31">
        <v>0</v>
      </c>
      <c r="F858" s="31">
        <v>0</v>
      </c>
      <c r="G858" s="31">
        <v>0</v>
      </c>
      <c r="H858" s="31">
        <v>0</v>
      </c>
      <c r="I858" s="31">
        <v>0</v>
      </c>
      <c r="J858" s="31">
        <v>0</v>
      </c>
      <c r="K858" s="33">
        <v>0</v>
      </c>
      <c r="L858" s="31">
        <v>0</v>
      </c>
      <c r="M858" s="31">
        <v>616.12</v>
      </c>
      <c r="N858" s="31">
        <v>2887290.64</v>
      </c>
      <c r="O858" s="31">
        <v>0</v>
      </c>
      <c r="P858" s="31">
        <v>0</v>
      </c>
      <c r="Q858" s="31">
        <v>0</v>
      </c>
      <c r="R858" s="31">
        <v>0</v>
      </c>
      <c r="S858" s="31">
        <v>0</v>
      </c>
      <c r="T858" s="31">
        <v>0</v>
      </c>
      <c r="U858" s="31">
        <v>0</v>
      </c>
      <c r="V858" s="31">
        <v>0</v>
      </c>
      <c r="W858" s="31">
        <v>0</v>
      </c>
      <c r="X858" s="31">
        <v>0</v>
      </c>
      <c r="Y858" s="31">
        <v>0</v>
      </c>
      <c r="Z858" s="31">
        <v>0</v>
      </c>
      <c r="AA858" s="31">
        <v>0</v>
      </c>
      <c r="AB858" s="31">
        <v>0</v>
      </c>
      <c r="AC858" s="31">
        <f t="shared" si="171"/>
        <v>43309.36</v>
      </c>
      <c r="AD858" s="31">
        <v>150000</v>
      </c>
      <c r="AE858" s="31">
        <v>0</v>
      </c>
      <c r="AF858" s="34">
        <v>2021</v>
      </c>
      <c r="AG858" s="34">
        <v>2021</v>
      </c>
      <c r="AH858" s="35">
        <v>2021</v>
      </c>
      <c r="AT858" s="20" t="e">
        <f t="shared" si="163"/>
        <v>#N/A</v>
      </c>
      <c r="BZ858" s="71"/>
      <c r="CD858" s="20" t="e">
        <f t="shared" si="172"/>
        <v>#N/A</v>
      </c>
    </row>
    <row r="859" spans="1:82" ht="61.5" x14ac:dyDescent="0.85">
      <c r="A859" s="20">
        <v>1</v>
      </c>
      <c r="B859" s="66">
        <f>SUBTOTAL(103,$A$554:A859)</f>
        <v>284</v>
      </c>
      <c r="C859" s="24" t="s">
        <v>125</v>
      </c>
      <c r="D859" s="31">
        <f t="shared" si="170"/>
        <v>3404280</v>
      </c>
      <c r="E859" s="31">
        <v>0</v>
      </c>
      <c r="F859" s="31">
        <v>0</v>
      </c>
      <c r="G859" s="31">
        <v>0</v>
      </c>
      <c r="H859" s="31">
        <v>0</v>
      </c>
      <c r="I859" s="31">
        <v>0</v>
      </c>
      <c r="J859" s="31">
        <v>0</v>
      </c>
      <c r="K859" s="33">
        <v>0</v>
      </c>
      <c r="L859" s="31">
        <v>0</v>
      </c>
      <c r="M859" s="31">
        <v>773.7</v>
      </c>
      <c r="N859" s="31">
        <v>3206187.19</v>
      </c>
      <c r="O859" s="31">
        <v>0</v>
      </c>
      <c r="P859" s="31">
        <v>0</v>
      </c>
      <c r="Q859" s="31">
        <v>0</v>
      </c>
      <c r="R859" s="31">
        <v>0</v>
      </c>
      <c r="S859" s="31">
        <v>0</v>
      </c>
      <c r="T859" s="31">
        <v>0</v>
      </c>
      <c r="U859" s="31">
        <v>0</v>
      </c>
      <c r="V859" s="31">
        <v>0</v>
      </c>
      <c r="W859" s="31">
        <v>0</v>
      </c>
      <c r="X859" s="31">
        <v>0</v>
      </c>
      <c r="Y859" s="31">
        <v>0</v>
      </c>
      <c r="Z859" s="31">
        <v>0</v>
      </c>
      <c r="AA859" s="31">
        <v>0</v>
      </c>
      <c r="AB859" s="31">
        <v>0</v>
      </c>
      <c r="AC859" s="31">
        <f t="shared" si="171"/>
        <v>48092.81</v>
      </c>
      <c r="AD859" s="31">
        <v>150000</v>
      </c>
      <c r="AE859" s="31">
        <v>0</v>
      </c>
      <c r="AF859" s="34">
        <v>2021</v>
      </c>
      <c r="AG859" s="34">
        <v>2021</v>
      </c>
      <c r="AH859" s="35">
        <v>2021</v>
      </c>
      <c r="AT859" s="20" t="e">
        <f t="shared" si="163"/>
        <v>#N/A</v>
      </c>
      <c r="BZ859" s="71"/>
      <c r="CD859" s="20" t="e">
        <f t="shared" si="172"/>
        <v>#N/A</v>
      </c>
    </row>
    <row r="860" spans="1:82" ht="61.5" x14ac:dyDescent="0.85">
      <c r="A860" s="20">
        <v>1</v>
      </c>
      <c r="B860" s="66">
        <f>SUBTOTAL(103,$A$554:A860)</f>
        <v>285</v>
      </c>
      <c r="C860" s="24" t="s">
        <v>126</v>
      </c>
      <c r="D860" s="31">
        <f t="shared" si="170"/>
        <v>4675000</v>
      </c>
      <c r="E860" s="31">
        <v>0</v>
      </c>
      <c r="F860" s="31">
        <v>0</v>
      </c>
      <c r="G860" s="31">
        <v>0</v>
      </c>
      <c r="H860" s="31">
        <v>0</v>
      </c>
      <c r="I860" s="31">
        <v>0</v>
      </c>
      <c r="J860" s="31">
        <v>0</v>
      </c>
      <c r="K860" s="33">
        <v>0</v>
      </c>
      <c r="L860" s="31">
        <v>0</v>
      </c>
      <c r="M860" s="31">
        <v>935</v>
      </c>
      <c r="N860" s="31">
        <v>4458128.08</v>
      </c>
      <c r="O860" s="31">
        <v>0</v>
      </c>
      <c r="P860" s="31">
        <v>0</v>
      </c>
      <c r="Q860" s="31">
        <v>0</v>
      </c>
      <c r="R860" s="31">
        <v>0</v>
      </c>
      <c r="S860" s="31">
        <v>0</v>
      </c>
      <c r="T860" s="31">
        <v>0</v>
      </c>
      <c r="U860" s="31">
        <v>0</v>
      </c>
      <c r="V860" s="31">
        <v>0</v>
      </c>
      <c r="W860" s="31">
        <v>0</v>
      </c>
      <c r="X860" s="31">
        <v>0</v>
      </c>
      <c r="Y860" s="31">
        <v>0</v>
      </c>
      <c r="Z860" s="31">
        <v>0</v>
      </c>
      <c r="AA860" s="31">
        <v>0</v>
      </c>
      <c r="AB860" s="31">
        <v>0</v>
      </c>
      <c r="AC860" s="31">
        <f t="shared" si="171"/>
        <v>66871.92</v>
      </c>
      <c r="AD860" s="31">
        <v>150000</v>
      </c>
      <c r="AE860" s="31">
        <v>0</v>
      </c>
      <c r="AF860" s="34">
        <v>2021</v>
      </c>
      <c r="AG860" s="34">
        <v>2021</v>
      </c>
      <c r="AH860" s="35">
        <v>2021</v>
      </c>
      <c r="AT860" s="20" t="e">
        <f t="shared" si="163"/>
        <v>#N/A</v>
      </c>
      <c r="BZ860" s="71"/>
      <c r="CD860" s="20" t="e">
        <f t="shared" si="172"/>
        <v>#N/A</v>
      </c>
    </row>
    <row r="861" spans="1:82" ht="61.5" x14ac:dyDescent="0.85">
      <c r="A861" s="20">
        <v>1</v>
      </c>
      <c r="B861" s="66">
        <f>SUBTOTAL(103,$A$554:A861)</f>
        <v>286</v>
      </c>
      <c r="C861" s="24" t="s">
        <v>131</v>
      </c>
      <c r="D861" s="31">
        <f t="shared" si="170"/>
        <v>3259960</v>
      </c>
      <c r="E861" s="31">
        <v>0</v>
      </c>
      <c r="F861" s="31">
        <v>0</v>
      </c>
      <c r="G861" s="31">
        <v>0</v>
      </c>
      <c r="H861" s="31">
        <v>0</v>
      </c>
      <c r="I861" s="31">
        <v>0</v>
      </c>
      <c r="J861" s="31">
        <v>0</v>
      </c>
      <c r="K861" s="33">
        <v>0</v>
      </c>
      <c r="L861" s="31">
        <v>0</v>
      </c>
      <c r="M861" s="31">
        <v>740.9</v>
      </c>
      <c r="N861" s="31">
        <v>3064000</v>
      </c>
      <c r="O861" s="31">
        <v>0</v>
      </c>
      <c r="P861" s="31">
        <v>0</v>
      </c>
      <c r="Q861" s="31">
        <v>0</v>
      </c>
      <c r="R861" s="31">
        <v>0</v>
      </c>
      <c r="S861" s="31">
        <v>0</v>
      </c>
      <c r="T861" s="31">
        <v>0</v>
      </c>
      <c r="U861" s="31">
        <v>0</v>
      </c>
      <c r="V861" s="31">
        <v>0</v>
      </c>
      <c r="W861" s="31">
        <v>0</v>
      </c>
      <c r="X861" s="31">
        <v>0</v>
      </c>
      <c r="Y861" s="31">
        <v>0</v>
      </c>
      <c r="Z861" s="31">
        <v>0</v>
      </c>
      <c r="AA861" s="31">
        <v>0</v>
      </c>
      <c r="AB861" s="31">
        <v>0</v>
      </c>
      <c r="AC861" s="31">
        <f t="shared" si="171"/>
        <v>45960</v>
      </c>
      <c r="AD861" s="31">
        <v>150000</v>
      </c>
      <c r="AE861" s="31">
        <v>0</v>
      </c>
      <c r="AF861" s="34">
        <v>2021</v>
      </c>
      <c r="AG861" s="34">
        <v>2021</v>
      </c>
      <c r="AH861" s="35">
        <v>2021</v>
      </c>
      <c r="AT861" s="20" t="e">
        <f t="shared" si="163"/>
        <v>#N/A</v>
      </c>
      <c r="BZ861" s="71"/>
      <c r="CD861" s="20" t="e">
        <f t="shared" si="172"/>
        <v>#N/A</v>
      </c>
    </row>
    <row r="862" spans="1:82" ht="61.5" x14ac:dyDescent="0.85">
      <c r="B862" s="24" t="s">
        <v>861</v>
      </c>
      <c r="C862" s="166"/>
      <c r="D862" s="31">
        <f t="shared" ref="D862:AE862" si="173">D863</f>
        <v>3328825.5</v>
      </c>
      <c r="E862" s="31">
        <f t="shared" si="173"/>
        <v>0</v>
      </c>
      <c r="F862" s="31">
        <f t="shared" si="173"/>
        <v>0</v>
      </c>
      <c r="G862" s="31">
        <f t="shared" si="173"/>
        <v>0</v>
      </c>
      <c r="H862" s="31">
        <f t="shared" si="173"/>
        <v>0</v>
      </c>
      <c r="I862" s="31">
        <f t="shared" si="173"/>
        <v>0</v>
      </c>
      <c r="J862" s="31">
        <f t="shared" si="173"/>
        <v>0</v>
      </c>
      <c r="K862" s="33">
        <f t="shared" si="173"/>
        <v>0</v>
      </c>
      <c r="L862" s="31">
        <f t="shared" si="173"/>
        <v>0</v>
      </c>
      <c r="M862" s="31">
        <f t="shared" si="173"/>
        <v>650</v>
      </c>
      <c r="N862" s="31">
        <f t="shared" si="173"/>
        <v>3131847.78</v>
      </c>
      <c r="O862" s="31">
        <f t="shared" si="173"/>
        <v>0</v>
      </c>
      <c r="P862" s="31">
        <f t="shared" si="173"/>
        <v>0</v>
      </c>
      <c r="Q862" s="31">
        <f t="shared" si="173"/>
        <v>0</v>
      </c>
      <c r="R862" s="31">
        <f t="shared" si="173"/>
        <v>0</v>
      </c>
      <c r="S862" s="31">
        <f t="shared" si="173"/>
        <v>0</v>
      </c>
      <c r="T862" s="31">
        <f t="shared" si="173"/>
        <v>0</v>
      </c>
      <c r="U862" s="31">
        <f t="shared" si="173"/>
        <v>0</v>
      </c>
      <c r="V862" s="31">
        <f t="shared" si="173"/>
        <v>0</v>
      </c>
      <c r="W862" s="31">
        <f t="shared" si="173"/>
        <v>0</v>
      </c>
      <c r="X862" s="31">
        <f t="shared" si="173"/>
        <v>0</v>
      </c>
      <c r="Y862" s="31">
        <f t="shared" si="173"/>
        <v>0</v>
      </c>
      <c r="Z862" s="31">
        <f t="shared" si="173"/>
        <v>0</v>
      </c>
      <c r="AA862" s="31">
        <f t="shared" si="173"/>
        <v>0</v>
      </c>
      <c r="AB862" s="31">
        <f t="shared" si="173"/>
        <v>0</v>
      </c>
      <c r="AC862" s="31">
        <f t="shared" si="173"/>
        <v>46977.72</v>
      </c>
      <c r="AD862" s="31">
        <f t="shared" si="173"/>
        <v>150000</v>
      </c>
      <c r="AE862" s="31">
        <f t="shared" si="173"/>
        <v>0</v>
      </c>
      <c r="AF862" s="72" t="s">
        <v>776</v>
      </c>
      <c r="AG862" s="72" t="s">
        <v>776</v>
      </c>
      <c r="AH862" s="89" t="s">
        <v>776</v>
      </c>
      <c r="AT862" s="20" t="e">
        <f t="shared" si="163"/>
        <v>#N/A</v>
      </c>
      <c r="BZ862" s="71">
        <v>3328825.5</v>
      </c>
      <c r="CD862" s="20" t="e">
        <f t="shared" si="172"/>
        <v>#N/A</v>
      </c>
    </row>
    <row r="863" spans="1:82" ht="61.5" x14ac:dyDescent="0.85">
      <c r="A863" s="20">
        <v>1</v>
      </c>
      <c r="B863" s="66">
        <f>SUBTOTAL(103,$A$554:A863)</f>
        <v>287</v>
      </c>
      <c r="C863" s="24" t="s">
        <v>180</v>
      </c>
      <c r="D863" s="31">
        <f>E863+F863+G863+H863+I863+J863+L863+N863+P863+R863+T863+U863+V863+W863+X863+Y863+Z863+AA863+AB863+AC863+AD863+AE863</f>
        <v>3328825.5</v>
      </c>
      <c r="E863" s="31">
        <v>0</v>
      </c>
      <c r="F863" s="31">
        <v>0</v>
      </c>
      <c r="G863" s="31">
        <v>0</v>
      </c>
      <c r="H863" s="31">
        <v>0</v>
      </c>
      <c r="I863" s="31">
        <v>0</v>
      </c>
      <c r="J863" s="31">
        <v>0</v>
      </c>
      <c r="K863" s="33">
        <v>0</v>
      </c>
      <c r="L863" s="31">
        <v>0</v>
      </c>
      <c r="M863" s="31">
        <v>650</v>
      </c>
      <c r="N863" s="31">
        <v>3131847.78</v>
      </c>
      <c r="O863" s="31">
        <v>0</v>
      </c>
      <c r="P863" s="31">
        <v>0</v>
      </c>
      <c r="Q863" s="31">
        <v>0</v>
      </c>
      <c r="R863" s="31">
        <v>0</v>
      </c>
      <c r="S863" s="31">
        <v>0</v>
      </c>
      <c r="T863" s="31">
        <v>0</v>
      </c>
      <c r="U863" s="31">
        <v>0</v>
      </c>
      <c r="V863" s="31">
        <v>0</v>
      </c>
      <c r="W863" s="31">
        <v>0</v>
      </c>
      <c r="X863" s="31">
        <v>0</v>
      </c>
      <c r="Y863" s="31">
        <v>0</v>
      </c>
      <c r="Z863" s="31">
        <v>0</v>
      </c>
      <c r="AA863" s="31">
        <v>0</v>
      </c>
      <c r="AB863" s="31">
        <v>0</v>
      </c>
      <c r="AC863" s="31">
        <f>ROUND(N863*1.5%,2)</f>
        <v>46977.72</v>
      </c>
      <c r="AD863" s="31">
        <v>150000</v>
      </c>
      <c r="AE863" s="31">
        <v>0</v>
      </c>
      <c r="AF863" s="34">
        <v>2021</v>
      </c>
      <c r="AG863" s="34">
        <v>2021</v>
      </c>
      <c r="AH863" s="35">
        <v>2021</v>
      </c>
      <c r="AT863" s="20" t="e">
        <f t="shared" si="163"/>
        <v>#N/A</v>
      </c>
      <c r="BZ863" s="71"/>
      <c r="CD863" s="20" t="e">
        <f t="shared" si="172"/>
        <v>#N/A</v>
      </c>
    </row>
    <row r="864" spans="1:82" ht="61.5" x14ac:dyDescent="0.85">
      <c r="B864" s="24" t="s">
        <v>860</v>
      </c>
      <c r="C864" s="24"/>
      <c r="D864" s="31">
        <f t="shared" ref="D864:AE864" si="174">D865+D866</f>
        <v>5279138.41</v>
      </c>
      <c r="E864" s="31">
        <f t="shared" si="174"/>
        <v>0</v>
      </c>
      <c r="F864" s="31">
        <f t="shared" si="174"/>
        <v>0</v>
      </c>
      <c r="G864" s="31">
        <f t="shared" si="174"/>
        <v>0</v>
      </c>
      <c r="H864" s="31">
        <f t="shared" si="174"/>
        <v>0</v>
      </c>
      <c r="I864" s="31">
        <f t="shared" si="174"/>
        <v>0</v>
      </c>
      <c r="J864" s="31">
        <f t="shared" si="174"/>
        <v>0</v>
      </c>
      <c r="K864" s="33">
        <f t="shared" si="174"/>
        <v>0</v>
      </c>
      <c r="L864" s="31">
        <f t="shared" si="174"/>
        <v>0</v>
      </c>
      <c r="M864" s="31">
        <f t="shared" si="174"/>
        <v>0</v>
      </c>
      <c r="N864" s="31">
        <f t="shared" si="174"/>
        <v>0</v>
      </c>
      <c r="O864" s="31">
        <f t="shared" si="174"/>
        <v>0</v>
      </c>
      <c r="P864" s="31">
        <f t="shared" si="174"/>
        <v>0</v>
      </c>
      <c r="Q864" s="31">
        <f t="shared" si="174"/>
        <v>884.5</v>
      </c>
      <c r="R864" s="31">
        <f t="shared" si="174"/>
        <v>4944963.95</v>
      </c>
      <c r="S864" s="31">
        <f t="shared" si="174"/>
        <v>0</v>
      </c>
      <c r="T864" s="31">
        <f t="shared" si="174"/>
        <v>0</v>
      </c>
      <c r="U864" s="31">
        <f t="shared" si="174"/>
        <v>0</v>
      </c>
      <c r="V864" s="31">
        <f t="shared" si="174"/>
        <v>0</v>
      </c>
      <c r="W864" s="31">
        <f t="shared" si="174"/>
        <v>0</v>
      </c>
      <c r="X864" s="31">
        <f t="shared" si="174"/>
        <v>0</v>
      </c>
      <c r="Y864" s="31">
        <f t="shared" si="174"/>
        <v>0</v>
      </c>
      <c r="Z864" s="31">
        <f t="shared" si="174"/>
        <v>0</v>
      </c>
      <c r="AA864" s="31">
        <f t="shared" si="174"/>
        <v>0</v>
      </c>
      <c r="AB864" s="31">
        <f t="shared" si="174"/>
        <v>0</v>
      </c>
      <c r="AC864" s="31">
        <f t="shared" si="174"/>
        <v>74174.459999999992</v>
      </c>
      <c r="AD864" s="31">
        <f t="shared" si="174"/>
        <v>260000</v>
      </c>
      <c r="AE864" s="31">
        <f t="shared" si="174"/>
        <v>0</v>
      </c>
      <c r="AF864" s="72" t="s">
        <v>776</v>
      </c>
      <c r="AG864" s="72" t="s">
        <v>776</v>
      </c>
      <c r="AH864" s="89" t="s">
        <v>776</v>
      </c>
      <c r="AT864" s="20" t="e">
        <f t="shared" si="163"/>
        <v>#N/A</v>
      </c>
      <c r="BZ864" s="71">
        <v>5279138.41</v>
      </c>
      <c r="CD864" s="20" t="e">
        <f t="shared" si="172"/>
        <v>#N/A</v>
      </c>
    </row>
    <row r="865" spans="1:82" ht="61.5" x14ac:dyDescent="0.85">
      <c r="A865" s="20">
        <v>1</v>
      </c>
      <c r="B865" s="66">
        <f>SUBTOTAL(103,$A$554:A865)</f>
        <v>288</v>
      </c>
      <c r="C865" s="24" t="s">
        <v>178</v>
      </c>
      <c r="D865" s="31">
        <f>E865+F865+G865+H865+I865+J865+L865+N865+P865+R865+T865+U865+V865+W865+X865+Y865+Z865+AA865+AB865+AC865+AD865+AE865</f>
        <v>2721526.66</v>
      </c>
      <c r="E865" s="31">
        <v>0</v>
      </c>
      <c r="F865" s="31">
        <v>0</v>
      </c>
      <c r="G865" s="31">
        <v>0</v>
      </c>
      <c r="H865" s="31">
        <v>0</v>
      </c>
      <c r="I865" s="31">
        <v>0</v>
      </c>
      <c r="J865" s="31">
        <v>0</v>
      </c>
      <c r="K865" s="33">
        <v>0</v>
      </c>
      <c r="L865" s="31">
        <v>0</v>
      </c>
      <c r="M865" s="31">
        <v>0</v>
      </c>
      <c r="N865" s="31">
        <v>0</v>
      </c>
      <c r="O865" s="31">
        <v>0</v>
      </c>
      <c r="P865" s="31">
        <v>0</v>
      </c>
      <c r="Q865" s="31">
        <v>459</v>
      </c>
      <c r="R865" s="31">
        <v>2553228.2400000002</v>
      </c>
      <c r="S865" s="31">
        <v>0</v>
      </c>
      <c r="T865" s="31">
        <v>0</v>
      </c>
      <c r="U865" s="31">
        <v>0</v>
      </c>
      <c r="V865" s="31">
        <v>0</v>
      </c>
      <c r="W865" s="31">
        <v>0</v>
      </c>
      <c r="X865" s="31">
        <v>0</v>
      </c>
      <c r="Y865" s="31">
        <v>0</v>
      </c>
      <c r="Z865" s="31">
        <v>0</v>
      </c>
      <c r="AA865" s="31">
        <v>0</v>
      </c>
      <c r="AB865" s="31">
        <v>0</v>
      </c>
      <c r="AC865" s="31">
        <f>ROUND(R865*1.5%,2)</f>
        <v>38298.42</v>
      </c>
      <c r="AD865" s="31">
        <v>130000</v>
      </c>
      <c r="AE865" s="31">
        <v>0</v>
      </c>
      <c r="AF865" s="34">
        <v>2021</v>
      </c>
      <c r="AG865" s="34">
        <v>2021</v>
      </c>
      <c r="AH865" s="35">
        <v>2021</v>
      </c>
      <c r="AT865" s="20" t="e">
        <f t="shared" si="163"/>
        <v>#N/A</v>
      </c>
      <c r="BZ865" s="71"/>
      <c r="CD865" s="20" t="e">
        <f t="shared" si="172"/>
        <v>#N/A</v>
      </c>
    </row>
    <row r="866" spans="1:82" ht="61.5" x14ac:dyDescent="0.85">
      <c r="A866" s="20">
        <v>1</v>
      </c>
      <c r="B866" s="66">
        <f>SUBTOTAL(103,$A$554:A866)</f>
        <v>289</v>
      </c>
      <c r="C866" s="24" t="s">
        <v>179</v>
      </c>
      <c r="D866" s="31">
        <f>E866+F866+G866+H866+I866+J866+L866+N866+P866+R866+T866+U866+V866+W866+X866+Y866+Z866+AA866+AB866+AC866+AD866+AE866</f>
        <v>2557611.75</v>
      </c>
      <c r="E866" s="31">
        <v>0</v>
      </c>
      <c r="F866" s="31">
        <v>0</v>
      </c>
      <c r="G866" s="31">
        <v>0</v>
      </c>
      <c r="H866" s="31">
        <v>0</v>
      </c>
      <c r="I866" s="31">
        <v>0</v>
      </c>
      <c r="J866" s="31">
        <v>0</v>
      </c>
      <c r="K866" s="33">
        <v>0</v>
      </c>
      <c r="L866" s="31">
        <v>0</v>
      </c>
      <c r="M866" s="31">
        <v>0</v>
      </c>
      <c r="N866" s="31">
        <v>0</v>
      </c>
      <c r="O866" s="31">
        <v>0</v>
      </c>
      <c r="P866" s="31">
        <v>0</v>
      </c>
      <c r="Q866" s="31">
        <v>425.5</v>
      </c>
      <c r="R866" s="31">
        <v>2391735.71</v>
      </c>
      <c r="S866" s="31">
        <v>0</v>
      </c>
      <c r="T866" s="31">
        <v>0</v>
      </c>
      <c r="U866" s="31">
        <v>0</v>
      </c>
      <c r="V866" s="31">
        <v>0</v>
      </c>
      <c r="W866" s="31">
        <v>0</v>
      </c>
      <c r="X866" s="31">
        <v>0</v>
      </c>
      <c r="Y866" s="31">
        <v>0</v>
      </c>
      <c r="Z866" s="31">
        <v>0</v>
      </c>
      <c r="AA866" s="31">
        <v>0</v>
      </c>
      <c r="AB866" s="31">
        <v>0</v>
      </c>
      <c r="AC866" s="31">
        <f>ROUND(R866*1.5%,2)</f>
        <v>35876.04</v>
      </c>
      <c r="AD866" s="31">
        <v>130000</v>
      </c>
      <c r="AE866" s="31">
        <v>0</v>
      </c>
      <c r="AF866" s="34">
        <v>2021</v>
      </c>
      <c r="AG866" s="34">
        <v>2021</v>
      </c>
      <c r="AH866" s="35">
        <v>2021</v>
      </c>
      <c r="AT866" s="20" t="e">
        <f t="shared" si="163"/>
        <v>#N/A</v>
      </c>
      <c r="BZ866" s="71"/>
      <c r="CD866" s="20" t="e">
        <f t="shared" si="172"/>
        <v>#N/A</v>
      </c>
    </row>
    <row r="867" spans="1:82" ht="61.5" x14ac:dyDescent="0.85">
      <c r="B867" s="24" t="s">
        <v>896</v>
      </c>
      <c r="C867" s="24"/>
      <c r="D867" s="31">
        <f t="shared" ref="D867:AE867" si="175">D868</f>
        <v>4178956.32</v>
      </c>
      <c r="E867" s="31">
        <f t="shared" si="175"/>
        <v>0</v>
      </c>
      <c r="F867" s="31">
        <f t="shared" si="175"/>
        <v>0</v>
      </c>
      <c r="G867" s="31">
        <f t="shared" si="175"/>
        <v>0</v>
      </c>
      <c r="H867" s="31">
        <f t="shared" si="175"/>
        <v>0</v>
      </c>
      <c r="I867" s="31">
        <f t="shared" si="175"/>
        <v>0</v>
      </c>
      <c r="J867" s="31">
        <f t="shared" si="175"/>
        <v>0</v>
      </c>
      <c r="K867" s="33">
        <f t="shared" si="175"/>
        <v>0</v>
      </c>
      <c r="L867" s="31">
        <f t="shared" si="175"/>
        <v>0</v>
      </c>
      <c r="M867" s="31">
        <f t="shared" si="175"/>
        <v>816</v>
      </c>
      <c r="N867" s="31">
        <f t="shared" si="175"/>
        <v>3969415.09</v>
      </c>
      <c r="O867" s="31">
        <f t="shared" si="175"/>
        <v>0</v>
      </c>
      <c r="P867" s="31">
        <f t="shared" si="175"/>
        <v>0</v>
      </c>
      <c r="Q867" s="31">
        <f t="shared" si="175"/>
        <v>0</v>
      </c>
      <c r="R867" s="31">
        <f t="shared" si="175"/>
        <v>0</v>
      </c>
      <c r="S867" s="31">
        <f t="shared" si="175"/>
        <v>0</v>
      </c>
      <c r="T867" s="31">
        <f t="shared" si="175"/>
        <v>0</v>
      </c>
      <c r="U867" s="31">
        <f t="shared" si="175"/>
        <v>0</v>
      </c>
      <c r="V867" s="31">
        <f t="shared" si="175"/>
        <v>0</v>
      </c>
      <c r="W867" s="31">
        <f t="shared" si="175"/>
        <v>0</v>
      </c>
      <c r="X867" s="31">
        <f t="shared" si="175"/>
        <v>0</v>
      </c>
      <c r="Y867" s="31">
        <f t="shared" si="175"/>
        <v>0</v>
      </c>
      <c r="Z867" s="31">
        <f t="shared" si="175"/>
        <v>0</v>
      </c>
      <c r="AA867" s="31">
        <f t="shared" si="175"/>
        <v>0</v>
      </c>
      <c r="AB867" s="31">
        <f t="shared" si="175"/>
        <v>0</v>
      </c>
      <c r="AC867" s="31">
        <f t="shared" si="175"/>
        <v>59541.23</v>
      </c>
      <c r="AD867" s="31">
        <f t="shared" si="175"/>
        <v>150000</v>
      </c>
      <c r="AE867" s="31">
        <f t="shared" si="175"/>
        <v>0</v>
      </c>
      <c r="AF867" s="72" t="s">
        <v>776</v>
      </c>
      <c r="AG867" s="72" t="s">
        <v>776</v>
      </c>
      <c r="AH867" s="89" t="s">
        <v>776</v>
      </c>
      <c r="AT867" s="20" t="e">
        <f t="shared" si="163"/>
        <v>#N/A</v>
      </c>
      <c r="BZ867" s="71">
        <v>4178956.32</v>
      </c>
      <c r="CD867" s="20" t="e">
        <f t="shared" si="172"/>
        <v>#N/A</v>
      </c>
    </row>
    <row r="868" spans="1:82" ht="61.5" x14ac:dyDescent="0.85">
      <c r="A868" s="20">
        <v>1</v>
      </c>
      <c r="B868" s="66">
        <f>SUBTOTAL(103,$A$554:A868)</f>
        <v>290</v>
      </c>
      <c r="C868" s="24" t="s">
        <v>177</v>
      </c>
      <c r="D868" s="31">
        <f>E868+F868+G868+H868+I868+J868+L868+N868+P868+R868+T868+U868+V868+W868+X868+Y868+Z868+AA868+AB868+AC868+AD868+AE868</f>
        <v>4178956.32</v>
      </c>
      <c r="E868" s="31">
        <v>0</v>
      </c>
      <c r="F868" s="31">
        <v>0</v>
      </c>
      <c r="G868" s="31">
        <v>0</v>
      </c>
      <c r="H868" s="31">
        <v>0</v>
      </c>
      <c r="I868" s="31">
        <v>0</v>
      </c>
      <c r="J868" s="31">
        <v>0</v>
      </c>
      <c r="K868" s="33">
        <v>0</v>
      </c>
      <c r="L868" s="31">
        <v>0</v>
      </c>
      <c r="M868" s="31">
        <v>816</v>
      </c>
      <c r="N868" s="31">
        <v>3969415.09</v>
      </c>
      <c r="O868" s="31">
        <v>0</v>
      </c>
      <c r="P868" s="31">
        <v>0</v>
      </c>
      <c r="Q868" s="31">
        <v>0</v>
      </c>
      <c r="R868" s="31">
        <v>0</v>
      </c>
      <c r="S868" s="31">
        <v>0</v>
      </c>
      <c r="T868" s="31">
        <v>0</v>
      </c>
      <c r="U868" s="31">
        <v>0</v>
      </c>
      <c r="V868" s="31">
        <v>0</v>
      </c>
      <c r="W868" s="31">
        <v>0</v>
      </c>
      <c r="X868" s="31">
        <v>0</v>
      </c>
      <c r="Y868" s="31">
        <v>0</v>
      </c>
      <c r="Z868" s="31">
        <v>0</v>
      </c>
      <c r="AA868" s="31">
        <v>0</v>
      </c>
      <c r="AB868" s="31">
        <v>0</v>
      </c>
      <c r="AC868" s="31">
        <f>ROUND(N868*1.5%,2)</f>
        <v>59541.23</v>
      </c>
      <c r="AD868" s="31">
        <v>150000</v>
      </c>
      <c r="AE868" s="31">
        <v>0</v>
      </c>
      <c r="AF868" s="34">
        <v>2021</v>
      </c>
      <c r="AG868" s="34">
        <v>2021</v>
      </c>
      <c r="AH868" s="35">
        <v>2021</v>
      </c>
      <c r="AT868" s="20" t="e">
        <f t="shared" si="163"/>
        <v>#N/A</v>
      </c>
      <c r="BZ868" s="71"/>
      <c r="CD868" s="20" t="e">
        <f t="shared" si="172"/>
        <v>#N/A</v>
      </c>
    </row>
    <row r="869" spans="1:82" ht="61.5" x14ac:dyDescent="0.85">
      <c r="B869" s="24" t="s">
        <v>862</v>
      </c>
      <c r="C869" s="24"/>
      <c r="D869" s="31">
        <f t="shared" ref="D869:AE869" si="176">D870</f>
        <v>1889236.5</v>
      </c>
      <c r="E869" s="31">
        <f t="shared" si="176"/>
        <v>0</v>
      </c>
      <c r="F869" s="31">
        <f t="shared" si="176"/>
        <v>0</v>
      </c>
      <c r="G869" s="31">
        <f t="shared" si="176"/>
        <v>0</v>
      </c>
      <c r="H869" s="31">
        <f t="shared" si="176"/>
        <v>0</v>
      </c>
      <c r="I869" s="31">
        <f t="shared" si="176"/>
        <v>0</v>
      </c>
      <c r="J869" s="31">
        <f t="shared" si="176"/>
        <v>0</v>
      </c>
      <c r="K869" s="33">
        <f t="shared" si="176"/>
        <v>0</v>
      </c>
      <c r="L869" s="31">
        <f t="shared" si="176"/>
        <v>0</v>
      </c>
      <c r="M869" s="31">
        <f t="shared" si="176"/>
        <v>368.9</v>
      </c>
      <c r="N869" s="31">
        <f t="shared" si="176"/>
        <v>1743090.15</v>
      </c>
      <c r="O869" s="31">
        <f t="shared" si="176"/>
        <v>0</v>
      </c>
      <c r="P869" s="31">
        <f t="shared" si="176"/>
        <v>0</v>
      </c>
      <c r="Q869" s="31">
        <f t="shared" si="176"/>
        <v>0</v>
      </c>
      <c r="R869" s="31">
        <f t="shared" si="176"/>
        <v>0</v>
      </c>
      <c r="S869" s="31">
        <f t="shared" si="176"/>
        <v>0</v>
      </c>
      <c r="T869" s="31">
        <f t="shared" si="176"/>
        <v>0</v>
      </c>
      <c r="U869" s="31">
        <f t="shared" si="176"/>
        <v>0</v>
      </c>
      <c r="V869" s="31">
        <f t="shared" si="176"/>
        <v>0</v>
      </c>
      <c r="W869" s="31">
        <f t="shared" si="176"/>
        <v>0</v>
      </c>
      <c r="X869" s="31">
        <f t="shared" si="176"/>
        <v>0</v>
      </c>
      <c r="Y869" s="31">
        <f t="shared" si="176"/>
        <v>0</v>
      </c>
      <c r="Z869" s="31">
        <f t="shared" si="176"/>
        <v>0</v>
      </c>
      <c r="AA869" s="31">
        <f t="shared" si="176"/>
        <v>0</v>
      </c>
      <c r="AB869" s="31">
        <f t="shared" si="176"/>
        <v>0</v>
      </c>
      <c r="AC869" s="31">
        <f t="shared" si="176"/>
        <v>26146.35</v>
      </c>
      <c r="AD869" s="31">
        <f t="shared" si="176"/>
        <v>120000</v>
      </c>
      <c r="AE869" s="31">
        <f t="shared" si="176"/>
        <v>0</v>
      </c>
      <c r="AF869" s="72" t="s">
        <v>776</v>
      </c>
      <c r="AG869" s="72" t="s">
        <v>776</v>
      </c>
      <c r="AH869" s="89" t="s">
        <v>776</v>
      </c>
      <c r="AT869" s="20" t="e">
        <f t="shared" si="163"/>
        <v>#N/A</v>
      </c>
      <c r="BZ869" s="71">
        <v>1889236.5</v>
      </c>
      <c r="CD869" s="20" t="e">
        <f t="shared" si="172"/>
        <v>#N/A</v>
      </c>
    </row>
    <row r="870" spans="1:82" ht="61.5" x14ac:dyDescent="0.85">
      <c r="A870" s="20">
        <v>1</v>
      </c>
      <c r="B870" s="66">
        <f>SUBTOTAL(103,$A$554:A870)</f>
        <v>291</v>
      </c>
      <c r="C870" s="24" t="s">
        <v>176</v>
      </c>
      <c r="D870" s="31">
        <f>E870+F870+G870+H870+I870+J870+L870+N870+P870+R870+T870+U870+V870+W870+X870+Y870+Z870+AA870+AB870+AC870+AD870+AE870</f>
        <v>1889236.5</v>
      </c>
      <c r="E870" s="31">
        <v>0</v>
      </c>
      <c r="F870" s="31">
        <v>0</v>
      </c>
      <c r="G870" s="31">
        <v>0</v>
      </c>
      <c r="H870" s="31">
        <v>0</v>
      </c>
      <c r="I870" s="31">
        <v>0</v>
      </c>
      <c r="J870" s="31">
        <v>0</v>
      </c>
      <c r="K870" s="33">
        <v>0</v>
      </c>
      <c r="L870" s="31">
        <v>0</v>
      </c>
      <c r="M870" s="31">
        <v>368.9</v>
      </c>
      <c r="N870" s="31">
        <v>1743090.15</v>
      </c>
      <c r="O870" s="31">
        <v>0</v>
      </c>
      <c r="P870" s="31">
        <v>0</v>
      </c>
      <c r="Q870" s="31">
        <v>0</v>
      </c>
      <c r="R870" s="31">
        <v>0</v>
      </c>
      <c r="S870" s="31">
        <v>0</v>
      </c>
      <c r="T870" s="31">
        <v>0</v>
      </c>
      <c r="U870" s="31">
        <v>0</v>
      </c>
      <c r="V870" s="31">
        <v>0</v>
      </c>
      <c r="W870" s="31">
        <v>0</v>
      </c>
      <c r="X870" s="31">
        <v>0</v>
      </c>
      <c r="Y870" s="31">
        <v>0</v>
      </c>
      <c r="Z870" s="31">
        <v>0</v>
      </c>
      <c r="AA870" s="31">
        <v>0</v>
      </c>
      <c r="AB870" s="31">
        <v>0</v>
      </c>
      <c r="AC870" s="31">
        <f>ROUND(N870*1.5%,2)</f>
        <v>26146.35</v>
      </c>
      <c r="AD870" s="31">
        <v>120000</v>
      </c>
      <c r="AE870" s="31">
        <v>0</v>
      </c>
      <c r="AF870" s="34">
        <v>2021</v>
      </c>
      <c r="AG870" s="34">
        <v>2021</v>
      </c>
      <c r="AH870" s="35">
        <v>2021</v>
      </c>
      <c r="AT870" s="20" t="e">
        <f t="shared" si="163"/>
        <v>#N/A</v>
      </c>
      <c r="BZ870" s="71"/>
      <c r="CD870" s="20" t="e">
        <f t="shared" si="172"/>
        <v>#N/A</v>
      </c>
    </row>
    <row r="871" spans="1:82" ht="61.5" x14ac:dyDescent="0.85">
      <c r="B871" s="24" t="s">
        <v>863</v>
      </c>
      <c r="C871" s="166"/>
      <c r="D871" s="31">
        <f t="shared" ref="D871:AE871" si="177">SUM(D872:D875)</f>
        <v>10103503.050000001</v>
      </c>
      <c r="E871" s="31">
        <f t="shared" si="177"/>
        <v>0</v>
      </c>
      <c r="F871" s="31">
        <f t="shared" si="177"/>
        <v>0</v>
      </c>
      <c r="G871" s="31">
        <f t="shared" si="177"/>
        <v>0</v>
      </c>
      <c r="H871" s="31">
        <f t="shared" si="177"/>
        <v>0</v>
      </c>
      <c r="I871" s="31">
        <f t="shared" si="177"/>
        <v>0</v>
      </c>
      <c r="J871" s="31">
        <f t="shared" si="177"/>
        <v>0</v>
      </c>
      <c r="K871" s="33">
        <f t="shared" si="177"/>
        <v>0</v>
      </c>
      <c r="L871" s="31">
        <f t="shared" si="177"/>
        <v>0</v>
      </c>
      <c r="M871" s="31">
        <f t="shared" si="177"/>
        <v>1755</v>
      </c>
      <c r="N871" s="31">
        <f t="shared" si="177"/>
        <v>9451727.1400000006</v>
      </c>
      <c r="O871" s="31">
        <f t="shared" si="177"/>
        <v>0</v>
      </c>
      <c r="P871" s="31">
        <f t="shared" si="177"/>
        <v>0</v>
      </c>
      <c r="Q871" s="31">
        <f t="shared" si="177"/>
        <v>0</v>
      </c>
      <c r="R871" s="31">
        <f t="shared" si="177"/>
        <v>0</v>
      </c>
      <c r="S871" s="31">
        <f t="shared" si="177"/>
        <v>0</v>
      </c>
      <c r="T871" s="31">
        <f t="shared" si="177"/>
        <v>0</v>
      </c>
      <c r="U871" s="31">
        <f t="shared" si="177"/>
        <v>0</v>
      </c>
      <c r="V871" s="31">
        <f t="shared" si="177"/>
        <v>0</v>
      </c>
      <c r="W871" s="31">
        <f t="shared" si="177"/>
        <v>0</v>
      </c>
      <c r="X871" s="31">
        <f t="shared" si="177"/>
        <v>0</v>
      </c>
      <c r="Y871" s="31">
        <f t="shared" si="177"/>
        <v>0</v>
      </c>
      <c r="Z871" s="31">
        <f t="shared" si="177"/>
        <v>0</v>
      </c>
      <c r="AA871" s="31">
        <f t="shared" si="177"/>
        <v>0</v>
      </c>
      <c r="AB871" s="31">
        <f t="shared" si="177"/>
        <v>0</v>
      </c>
      <c r="AC871" s="31">
        <f t="shared" si="177"/>
        <v>141775.90999999997</v>
      </c>
      <c r="AD871" s="31">
        <f t="shared" si="177"/>
        <v>510000</v>
      </c>
      <c r="AE871" s="31">
        <f t="shared" si="177"/>
        <v>0</v>
      </c>
      <c r="AF871" s="72" t="s">
        <v>776</v>
      </c>
      <c r="AG871" s="72" t="s">
        <v>776</v>
      </c>
      <c r="AH871" s="89" t="s">
        <v>776</v>
      </c>
      <c r="AT871" s="20" t="e">
        <f t="shared" si="163"/>
        <v>#N/A</v>
      </c>
      <c r="BZ871" s="71">
        <v>10103503.050000001</v>
      </c>
      <c r="CD871" s="20" t="e">
        <f t="shared" si="172"/>
        <v>#N/A</v>
      </c>
    </row>
    <row r="872" spans="1:82" ht="61.5" x14ac:dyDescent="0.85">
      <c r="A872" s="20">
        <v>1</v>
      </c>
      <c r="B872" s="66">
        <f>SUBTOTAL(103,$A$554:A872)</f>
        <v>292</v>
      </c>
      <c r="C872" s="24" t="s">
        <v>79</v>
      </c>
      <c r="D872" s="31">
        <f>E872+F872+G872+H872+I872+J872+L872+N872+P872+R872+T872+U872+V872+W872+X872+Y872+Z872+AA872+AB872+AC872+AD872+AE872</f>
        <v>3083184.6</v>
      </c>
      <c r="E872" s="31">
        <v>0</v>
      </c>
      <c r="F872" s="31">
        <v>0</v>
      </c>
      <c r="G872" s="31">
        <v>0</v>
      </c>
      <c r="H872" s="31">
        <v>0</v>
      </c>
      <c r="I872" s="31">
        <v>0</v>
      </c>
      <c r="J872" s="31">
        <v>0</v>
      </c>
      <c r="K872" s="33">
        <v>0</v>
      </c>
      <c r="L872" s="31">
        <v>0</v>
      </c>
      <c r="M872" s="31">
        <v>510</v>
      </c>
      <c r="N872" s="31">
        <v>2889837.04</v>
      </c>
      <c r="O872" s="31">
        <v>0</v>
      </c>
      <c r="P872" s="31">
        <v>0</v>
      </c>
      <c r="Q872" s="31">
        <v>0</v>
      </c>
      <c r="R872" s="31">
        <v>0</v>
      </c>
      <c r="S872" s="31">
        <v>0</v>
      </c>
      <c r="T872" s="31">
        <v>0</v>
      </c>
      <c r="U872" s="31">
        <v>0</v>
      </c>
      <c r="V872" s="31">
        <v>0</v>
      </c>
      <c r="W872" s="31">
        <v>0</v>
      </c>
      <c r="X872" s="31">
        <v>0</v>
      </c>
      <c r="Y872" s="31">
        <v>0</v>
      </c>
      <c r="Z872" s="31">
        <v>0</v>
      </c>
      <c r="AA872" s="31">
        <v>0</v>
      </c>
      <c r="AB872" s="31">
        <v>0</v>
      </c>
      <c r="AC872" s="31">
        <f>ROUND(N872*1.5%,2)</f>
        <v>43347.56</v>
      </c>
      <c r="AD872" s="31">
        <v>150000</v>
      </c>
      <c r="AE872" s="31">
        <v>0</v>
      </c>
      <c r="AF872" s="34">
        <v>2021</v>
      </c>
      <c r="AG872" s="34">
        <v>2021</v>
      </c>
      <c r="AH872" s="35">
        <v>2021</v>
      </c>
      <c r="AT872" s="20" t="e">
        <f t="shared" si="163"/>
        <v>#N/A</v>
      </c>
      <c r="BZ872" s="71"/>
      <c r="CD872" s="20" t="e">
        <f t="shared" si="172"/>
        <v>#N/A</v>
      </c>
    </row>
    <row r="873" spans="1:82" ht="61.5" x14ac:dyDescent="0.85">
      <c r="A873" s="20">
        <v>1</v>
      </c>
      <c r="B873" s="66">
        <f>SUBTOTAL(103,$A$554:A873)</f>
        <v>293</v>
      </c>
      <c r="C873" s="24" t="s">
        <v>80</v>
      </c>
      <c r="D873" s="31">
        <f>E873+F873+G873+H873+I873+J873+L873+N873+P873+R873+T873+U873+V873+W873+X873+Y873+Z873+AA873+AB873+AC873+AD873+AE873</f>
        <v>2424688.3000000003</v>
      </c>
      <c r="E873" s="31">
        <v>0</v>
      </c>
      <c r="F873" s="31">
        <v>0</v>
      </c>
      <c r="G873" s="31">
        <v>0</v>
      </c>
      <c r="H873" s="31">
        <v>0</v>
      </c>
      <c r="I873" s="31">
        <v>0</v>
      </c>
      <c r="J873" s="31">
        <v>0</v>
      </c>
      <c r="K873" s="33">
        <v>0</v>
      </c>
      <c r="L873" s="31">
        <v>0</v>
      </c>
      <c r="M873" s="31">
        <v>430</v>
      </c>
      <c r="N873" s="31">
        <v>2270628.87</v>
      </c>
      <c r="O873" s="31">
        <v>0</v>
      </c>
      <c r="P873" s="31">
        <v>0</v>
      </c>
      <c r="Q873" s="31">
        <v>0</v>
      </c>
      <c r="R873" s="31">
        <v>0</v>
      </c>
      <c r="S873" s="31">
        <v>0</v>
      </c>
      <c r="T873" s="31">
        <v>0</v>
      </c>
      <c r="U873" s="31">
        <v>0</v>
      </c>
      <c r="V873" s="31">
        <v>0</v>
      </c>
      <c r="W873" s="31">
        <v>0</v>
      </c>
      <c r="X873" s="31">
        <v>0</v>
      </c>
      <c r="Y873" s="31">
        <v>0</v>
      </c>
      <c r="Z873" s="31">
        <v>0</v>
      </c>
      <c r="AA873" s="31">
        <v>0</v>
      </c>
      <c r="AB873" s="31">
        <v>0</v>
      </c>
      <c r="AC873" s="31">
        <f>ROUND(N873*1.5%,2)</f>
        <v>34059.43</v>
      </c>
      <c r="AD873" s="31">
        <v>120000</v>
      </c>
      <c r="AE873" s="31">
        <v>0</v>
      </c>
      <c r="AF873" s="34">
        <v>2021</v>
      </c>
      <c r="AG873" s="34">
        <v>2021</v>
      </c>
      <c r="AH873" s="35">
        <v>2021</v>
      </c>
      <c r="AT873" s="20" t="e">
        <f t="shared" ref="AT873:AT895" si="178">VLOOKUP(C873,AW:AX,2,FALSE)</f>
        <v>#N/A</v>
      </c>
      <c r="BZ873" s="71"/>
      <c r="CD873" s="20" t="e">
        <f t="shared" si="172"/>
        <v>#N/A</v>
      </c>
    </row>
    <row r="874" spans="1:82" ht="61.5" x14ac:dyDescent="0.85">
      <c r="A874" s="20">
        <v>1</v>
      </c>
      <c r="B874" s="66">
        <f>SUBTOTAL(103,$A$554:A874)</f>
        <v>294</v>
      </c>
      <c r="C874" s="24" t="s">
        <v>81</v>
      </c>
      <c r="D874" s="31">
        <f>E874+F874+G874+H874+I874+J874+L874+N874+P874+R874+T874+U874+V874+W874+X874+Y874+Z874+AA874+AB874+AC874+AD874+AE874</f>
        <v>2424688.3000000003</v>
      </c>
      <c r="E874" s="31">
        <v>0</v>
      </c>
      <c r="F874" s="31">
        <v>0</v>
      </c>
      <c r="G874" s="31">
        <v>0</v>
      </c>
      <c r="H874" s="31">
        <v>0</v>
      </c>
      <c r="I874" s="31">
        <v>0</v>
      </c>
      <c r="J874" s="31">
        <v>0</v>
      </c>
      <c r="K874" s="33">
        <v>0</v>
      </c>
      <c r="L874" s="31">
        <v>0</v>
      </c>
      <c r="M874" s="31">
        <v>430</v>
      </c>
      <c r="N874" s="31">
        <v>2270628.87</v>
      </c>
      <c r="O874" s="31">
        <v>0</v>
      </c>
      <c r="P874" s="31">
        <v>0</v>
      </c>
      <c r="Q874" s="31">
        <v>0</v>
      </c>
      <c r="R874" s="31">
        <v>0</v>
      </c>
      <c r="S874" s="31">
        <v>0</v>
      </c>
      <c r="T874" s="31">
        <v>0</v>
      </c>
      <c r="U874" s="31">
        <v>0</v>
      </c>
      <c r="V874" s="31">
        <v>0</v>
      </c>
      <c r="W874" s="31">
        <v>0</v>
      </c>
      <c r="X874" s="31">
        <v>0</v>
      </c>
      <c r="Y874" s="31">
        <v>0</v>
      </c>
      <c r="Z874" s="31">
        <v>0</v>
      </c>
      <c r="AA874" s="31">
        <v>0</v>
      </c>
      <c r="AB874" s="31">
        <v>0</v>
      </c>
      <c r="AC874" s="31">
        <f>ROUND(N874*1.5%,2)</f>
        <v>34059.43</v>
      </c>
      <c r="AD874" s="31">
        <v>120000</v>
      </c>
      <c r="AE874" s="31">
        <v>0</v>
      </c>
      <c r="AF874" s="34">
        <v>2021</v>
      </c>
      <c r="AG874" s="34">
        <v>2021</v>
      </c>
      <c r="AH874" s="35">
        <v>2021</v>
      </c>
      <c r="AT874" s="20" t="e">
        <f t="shared" si="178"/>
        <v>#N/A</v>
      </c>
      <c r="BZ874" s="71"/>
      <c r="CD874" s="20" t="e">
        <f t="shared" si="172"/>
        <v>#N/A</v>
      </c>
    </row>
    <row r="875" spans="1:82" ht="61.5" x14ac:dyDescent="0.85">
      <c r="A875" s="20">
        <v>1</v>
      </c>
      <c r="B875" s="66">
        <f>SUBTOTAL(103,$A$554:A875)</f>
        <v>295</v>
      </c>
      <c r="C875" s="24" t="s">
        <v>78</v>
      </c>
      <c r="D875" s="31">
        <f>E875+F875+G875+H875+I875+J875+L875+N875+P875+R875+T875+U875+V875+W875+X875+Y875+Z875+AA875+AB875+AC875+AD875+AE875</f>
        <v>2170941.85</v>
      </c>
      <c r="E875" s="31">
        <v>0</v>
      </c>
      <c r="F875" s="31">
        <v>0</v>
      </c>
      <c r="G875" s="31">
        <v>0</v>
      </c>
      <c r="H875" s="31">
        <v>0</v>
      </c>
      <c r="I875" s="31">
        <v>0</v>
      </c>
      <c r="J875" s="31">
        <v>0</v>
      </c>
      <c r="K875" s="33">
        <v>0</v>
      </c>
      <c r="L875" s="31">
        <v>0</v>
      </c>
      <c r="M875" s="31">
        <v>385</v>
      </c>
      <c r="N875" s="31">
        <v>2020632.36</v>
      </c>
      <c r="O875" s="31">
        <v>0</v>
      </c>
      <c r="P875" s="31">
        <v>0</v>
      </c>
      <c r="Q875" s="31">
        <v>0</v>
      </c>
      <c r="R875" s="31">
        <v>0</v>
      </c>
      <c r="S875" s="31">
        <v>0</v>
      </c>
      <c r="T875" s="31">
        <v>0</v>
      </c>
      <c r="U875" s="31">
        <v>0</v>
      </c>
      <c r="V875" s="31">
        <v>0</v>
      </c>
      <c r="W875" s="31">
        <v>0</v>
      </c>
      <c r="X875" s="31">
        <v>0</v>
      </c>
      <c r="Y875" s="31">
        <v>0</v>
      </c>
      <c r="Z875" s="31">
        <v>0</v>
      </c>
      <c r="AA875" s="31">
        <v>0</v>
      </c>
      <c r="AB875" s="31">
        <v>0</v>
      </c>
      <c r="AC875" s="31">
        <f>ROUND(N875*1.5%,2)</f>
        <v>30309.49</v>
      </c>
      <c r="AD875" s="31">
        <v>120000</v>
      </c>
      <c r="AE875" s="31">
        <v>0</v>
      </c>
      <c r="AF875" s="34">
        <v>2021</v>
      </c>
      <c r="AG875" s="34">
        <v>2021</v>
      </c>
      <c r="AH875" s="35">
        <v>2021</v>
      </c>
      <c r="AT875" s="20" t="e">
        <f t="shared" si="178"/>
        <v>#N/A</v>
      </c>
      <c r="BZ875" s="71"/>
      <c r="CD875" s="20" t="e">
        <f t="shared" si="172"/>
        <v>#N/A</v>
      </c>
    </row>
    <row r="876" spans="1:82" ht="61.5" x14ac:dyDescent="0.85">
      <c r="B876" s="24" t="s">
        <v>897</v>
      </c>
      <c r="C876" s="24"/>
      <c r="D876" s="31">
        <f t="shared" ref="D876:AE876" si="179">D877+D878</f>
        <v>2766932.97</v>
      </c>
      <c r="E876" s="31">
        <f t="shared" si="179"/>
        <v>0</v>
      </c>
      <c r="F876" s="31">
        <f t="shared" si="179"/>
        <v>0</v>
      </c>
      <c r="G876" s="31">
        <f t="shared" si="179"/>
        <v>0</v>
      </c>
      <c r="H876" s="31">
        <f t="shared" si="179"/>
        <v>0</v>
      </c>
      <c r="I876" s="31">
        <f t="shared" si="179"/>
        <v>0</v>
      </c>
      <c r="J876" s="31">
        <f t="shared" si="179"/>
        <v>0</v>
      </c>
      <c r="K876" s="33">
        <f t="shared" si="179"/>
        <v>0</v>
      </c>
      <c r="L876" s="31">
        <f t="shared" si="179"/>
        <v>0</v>
      </c>
      <c r="M876" s="31">
        <f t="shared" si="179"/>
        <v>467</v>
      </c>
      <c r="N876" s="31">
        <f t="shared" si="179"/>
        <v>2489589.13</v>
      </c>
      <c r="O876" s="31">
        <f t="shared" si="179"/>
        <v>0</v>
      </c>
      <c r="P876" s="31">
        <f t="shared" si="179"/>
        <v>0</v>
      </c>
      <c r="Q876" s="31">
        <f t="shared" si="179"/>
        <v>0</v>
      </c>
      <c r="R876" s="31">
        <f t="shared" si="179"/>
        <v>0</v>
      </c>
      <c r="S876" s="31">
        <f t="shared" si="179"/>
        <v>0</v>
      </c>
      <c r="T876" s="31">
        <f t="shared" si="179"/>
        <v>0</v>
      </c>
      <c r="U876" s="31">
        <f t="shared" si="179"/>
        <v>0</v>
      </c>
      <c r="V876" s="31">
        <f t="shared" si="179"/>
        <v>0</v>
      </c>
      <c r="W876" s="31">
        <f t="shared" si="179"/>
        <v>0</v>
      </c>
      <c r="X876" s="31">
        <f t="shared" si="179"/>
        <v>0</v>
      </c>
      <c r="Y876" s="31">
        <f t="shared" si="179"/>
        <v>0</v>
      </c>
      <c r="Z876" s="31">
        <f t="shared" si="179"/>
        <v>0</v>
      </c>
      <c r="AA876" s="31">
        <f t="shared" si="179"/>
        <v>0</v>
      </c>
      <c r="AB876" s="31">
        <f t="shared" si="179"/>
        <v>0</v>
      </c>
      <c r="AC876" s="31">
        <f t="shared" si="179"/>
        <v>37343.839999999997</v>
      </c>
      <c r="AD876" s="31">
        <f t="shared" si="179"/>
        <v>240000</v>
      </c>
      <c r="AE876" s="31">
        <f t="shared" si="179"/>
        <v>0</v>
      </c>
      <c r="AF876" s="72" t="s">
        <v>776</v>
      </c>
      <c r="AG876" s="72" t="s">
        <v>776</v>
      </c>
      <c r="AH876" s="89" t="s">
        <v>776</v>
      </c>
      <c r="AT876" s="20" t="e">
        <f t="shared" si="178"/>
        <v>#N/A</v>
      </c>
      <c r="BZ876" s="71">
        <v>2766932.97</v>
      </c>
      <c r="CD876" s="20" t="e">
        <f t="shared" si="172"/>
        <v>#N/A</v>
      </c>
    </row>
    <row r="877" spans="1:82" ht="61.5" x14ac:dyDescent="0.85">
      <c r="A877" s="20">
        <v>1</v>
      </c>
      <c r="B877" s="66">
        <f>SUBTOTAL(103,$A$554:A877)</f>
        <v>296</v>
      </c>
      <c r="C877" s="24" t="s">
        <v>82</v>
      </c>
      <c r="D877" s="31">
        <f>E877+F877+G877+H877+I877+J877+L877+N877+P877+R877+T877+U877+V877+W877+X877+Y877+Z877+AA877+AB877+AC877+AD877+AE877</f>
        <v>1818947.37</v>
      </c>
      <c r="E877" s="31">
        <v>0</v>
      </c>
      <c r="F877" s="31">
        <v>0</v>
      </c>
      <c r="G877" s="31">
        <v>0</v>
      </c>
      <c r="H877" s="31">
        <v>0</v>
      </c>
      <c r="I877" s="31">
        <v>0</v>
      </c>
      <c r="J877" s="31">
        <v>0</v>
      </c>
      <c r="K877" s="33">
        <v>0</v>
      </c>
      <c r="L877" s="31">
        <v>0</v>
      </c>
      <c r="M877" s="31">
        <v>307</v>
      </c>
      <c r="N877" s="31">
        <v>1673839.77</v>
      </c>
      <c r="O877" s="31">
        <v>0</v>
      </c>
      <c r="P877" s="31">
        <v>0</v>
      </c>
      <c r="Q877" s="31">
        <v>0</v>
      </c>
      <c r="R877" s="31">
        <v>0</v>
      </c>
      <c r="S877" s="31">
        <v>0</v>
      </c>
      <c r="T877" s="31">
        <v>0</v>
      </c>
      <c r="U877" s="31">
        <v>0</v>
      </c>
      <c r="V877" s="31">
        <v>0</v>
      </c>
      <c r="W877" s="31">
        <v>0</v>
      </c>
      <c r="X877" s="31">
        <v>0</v>
      </c>
      <c r="Y877" s="31">
        <v>0</v>
      </c>
      <c r="Z877" s="31">
        <v>0</v>
      </c>
      <c r="AA877" s="31">
        <v>0</v>
      </c>
      <c r="AB877" s="31">
        <v>0</v>
      </c>
      <c r="AC877" s="31">
        <f>ROUND(N877*1.5%,2)</f>
        <v>25107.599999999999</v>
      </c>
      <c r="AD877" s="31">
        <v>120000</v>
      </c>
      <c r="AE877" s="31">
        <v>0</v>
      </c>
      <c r="AF877" s="34">
        <v>2021</v>
      </c>
      <c r="AG877" s="34">
        <v>2021</v>
      </c>
      <c r="AH877" s="35">
        <v>2021</v>
      </c>
      <c r="AT877" s="20" t="e">
        <f t="shared" si="178"/>
        <v>#N/A</v>
      </c>
      <c r="BZ877" s="71"/>
      <c r="CD877" s="20" t="e">
        <f t="shared" si="172"/>
        <v>#N/A</v>
      </c>
    </row>
    <row r="878" spans="1:82" ht="61.5" x14ac:dyDescent="0.85">
      <c r="A878" s="20">
        <v>1</v>
      </c>
      <c r="B878" s="66">
        <f>SUBTOTAL(103,$A$554:A878)</f>
        <v>297</v>
      </c>
      <c r="C878" s="24" t="s">
        <v>83</v>
      </c>
      <c r="D878" s="31">
        <f>E878+F878+G878+H878+I878+J878+L878+N878+P878+R878+T878+U878+V878+W878+X878+Y878+Z878+AA878+AB878+AC878+AD878+AE878</f>
        <v>947985.6</v>
      </c>
      <c r="E878" s="31">
        <v>0</v>
      </c>
      <c r="F878" s="31">
        <v>0</v>
      </c>
      <c r="G878" s="31">
        <v>0</v>
      </c>
      <c r="H878" s="31">
        <v>0</v>
      </c>
      <c r="I878" s="31">
        <v>0</v>
      </c>
      <c r="J878" s="31">
        <v>0</v>
      </c>
      <c r="K878" s="33">
        <v>0</v>
      </c>
      <c r="L878" s="31">
        <v>0</v>
      </c>
      <c r="M878" s="31">
        <v>160</v>
      </c>
      <c r="N878" s="31">
        <v>815749.36</v>
      </c>
      <c r="O878" s="31">
        <v>0</v>
      </c>
      <c r="P878" s="31">
        <v>0</v>
      </c>
      <c r="Q878" s="31">
        <v>0</v>
      </c>
      <c r="R878" s="31">
        <v>0</v>
      </c>
      <c r="S878" s="31">
        <v>0</v>
      </c>
      <c r="T878" s="31">
        <v>0</v>
      </c>
      <c r="U878" s="31">
        <v>0</v>
      </c>
      <c r="V878" s="31">
        <v>0</v>
      </c>
      <c r="W878" s="31">
        <v>0</v>
      </c>
      <c r="X878" s="31">
        <v>0</v>
      </c>
      <c r="Y878" s="31">
        <v>0</v>
      </c>
      <c r="Z878" s="31">
        <v>0</v>
      </c>
      <c r="AA878" s="31">
        <v>0</v>
      </c>
      <c r="AB878" s="31">
        <v>0</v>
      </c>
      <c r="AC878" s="31">
        <f>ROUND(N878*1.5%,2)</f>
        <v>12236.24</v>
      </c>
      <c r="AD878" s="31">
        <v>120000</v>
      </c>
      <c r="AE878" s="31">
        <v>0</v>
      </c>
      <c r="AF878" s="34">
        <v>2021</v>
      </c>
      <c r="AG878" s="34">
        <v>2021</v>
      </c>
      <c r="AH878" s="35">
        <v>2021</v>
      </c>
      <c r="AT878" s="20" t="e">
        <f t="shared" si="178"/>
        <v>#N/A</v>
      </c>
      <c r="BZ878" s="71"/>
      <c r="CD878" s="20" t="e">
        <f t="shared" si="172"/>
        <v>#N/A</v>
      </c>
    </row>
    <row r="879" spans="1:82" ht="61.5" x14ac:dyDescent="0.85">
      <c r="B879" s="24" t="s">
        <v>898</v>
      </c>
      <c r="C879" s="24"/>
      <c r="D879" s="31">
        <f t="shared" ref="D879:AE879" si="180">D880</f>
        <v>2568179.12</v>
      </c>
      <c r="E879" s="31">
        <f t="shared" si="180"/>
        <v>0</v>
      </c>
      <c r="F879" s="31">
        <f t="shared" si="180"/>
        <v>0</v>
      </c>
      <c r="G879" s="31">
        <f t="shared" si="180"/>
        <v>0</v>
      </c>
      <c r="H879" s="31">
        <f t="shared" si="180"/>
        <v>0</v>
      </c>
      <c r="I879" s="31">
        <f t="shared" si="180"/>
        <v>0</v>
      </c>
      <c r="J879" s="31">
        <f t="shared" si="180"/>
        <v>0</v>
      </c>
      <c r="K879" s="33">
        <f t="shared" si="180"/>
        <v>0</v>
      </c>
      <c r="L879" s="31">
        <f t="shared" si="180"/>
        <v>0</v>
      </c>
      <c r="M879" s="31">
        <f t="shared" si="180"/>
        <v>399.43</v>
      </c>
      <c r="N879" s="31">
        <f t="shared" si="180"/>
        <v>2411999.13</v>
      </c>
      <c r="O879" s="31">
        <f t="shared" si="180"/>
        <v>0</v>
      </c>
      <c r="P879" s="31">
        <f t="shared" si="180"/>
        <v>0</v>
      </c>
      <c r="Q879" s="31">
        <f t="shared" si="180"/>
        <v>0</v>
      </c>
      <c r="R879" s="31">
        <f t="shared" si="180"/>
        <v>0</v>
      </c>
      <c r="S879" s="31">
        <f t="shared" si="180"/>
        <v>0</v>
      </c>
      <c r="T879" s="31">
        <f t="shared" si="180"/>
        <v>0</v>
      </c>
      <c r="U879" s="31">
        <f t="shared" si="180"/>
        <v>0</v>
      </c>
      <c r="V879" s="31">
        <f t="shared" si="180"/>
        <v>0</v>
      </c>
      <c r="W879" s="31">
        <f t="shared" si="180"/>
        <v>0</v>
      </c>
      <c r="X879" s="31">
        <f t="shared" si="180"/>
        <v>0</v>
      </c>
      <c r="Y879" s="31">
        <f t="shared" si="180"/>
        <v>0</v>
      </c>
      <c r="Z879" s="31">
        <f t="shared" si="180"/>
        <v>0</v>
      </c>
      <c r="AA879" s="31">
        <f t="shared" si="180"/>
        <v>0</v>
      </c>
      <c r="AB879" s="31">
        <f t="shared" si="180"/>
        <v>0</v>
      </c>
      <c r="AC879" s="31">
        <f t="shared" si="180"/>
        <v>36179.99</v>
      </c>
      <c r="AD879" s="31">
        <f t="shared" si="180"/>
        <v>120000</v>
      </c>
      <c r="AE879" s="31">
        <f t="shared" si="180"/>
        <v>0</v>
      </c>
      <c r="AF879" s="72" t="s">
        <v>776</v>
      </c>
      <c r="AG879" s="72" t="s">
        <v>776</v>
      </c>
      <c r="AH879" s="89" t="s">
        <v>776</v>
      </c>
      <c r="AT879" s="20" t="e">
        <f t="shared" si="178"/>
        <v>#N/A</v>
      </c>
      <c r="BZ879" s="71">
        <v>2568179.12</v>
      </c>
      <c r="CD879" s="20" t="e">
        <f t="shared" si="172"/>
        <v>#N/A</v>
      </c>
    </row>
    <row r="880" spans="1:82" ht="61.5" x14ac:dyDescent="0.85">
      <c r="A880" s="20">
        <v>1</v>
      </c>
      <c r="B880" s="66">
        <f>SUBTOTAL(103,$A$554:A880)</f>
        <v>298</v>
      </c>
      <c r="C880" s="24" t="s">
        <v>84</v>
      </c>
      <c r="D880" s="31">
        <f>E880+F880+G880+H880+I880+J880+L880+N880+P880+R880+T880+U880+V880+W880+X880+Y880+Z880+AA880+AB880+AC880+AD880+AE880</f>
        <v>2568179.12</v>
      </c>
      <c r="E880" s="31">
        <v>0</v>
      </c>
      <c r="F880" s="31">
        <v>0</v>
      </c>
      <c r="G880" s="31">
        <v>0</v>
      </c>
      <c r="H880" s="31">
        <v>0</v>
      </c>
      <c r="I880" s="31">
        <v>0</v>
      </c>
      <c r="J880" s="31">
        <v>0</v>
      </c>
      <c r="K880" s="33">
        <v>0</v>
      </c>
      <c r="L880" s="31">
        <v>0</v>
      </c>
      <c r="M880" s="31">
        <v>399.43</v>
      </c>
      <c r="N880" s="31">
        <v>2411999.13</v>
      </c>
      <c r="O880" s="31">
        <v>0</v>
      </c>
      <c r="P880" s="31">
        <v>0</v>
      </c>
      <c r="Q880" s="31">
        <v>0</v>
      </c>
      <c r="R880" s="31">
        <v>0</v>
      </c>
      <c r="S880" s="31">
        <v>0</v>
      </c>
      <c r="T880" s="31">
        <v>0</v>
      </c>
      <c r="U880" s="31">
        <v>0</v>
      </c>
      <c r="V880" s="31">
        <v>0</v>
      </c>
      <c r="W880" s="31">
        <v>0</v>
      </c>
      <c r="X880" s="31">
        <v>0</v>
      </c>
      <c r="Y880" s="31">
        <v>0</v>
      </c>
      <c r="Z880" s="31">
        <v>0</v>
      </c>
      <c r="AA880" s="31">
        <v>0</v>
      </c>
      <c r="AB880" s="31">
        <v>0</v>
      </c>
      <c r="AC880" s="31">
        <f>ROUND(N880*1.5%,2)</f>
        <v>36179.99</v>
      </c>
      <c r="AD880" s="31">
        <v>120000</v>
      </c>
      <c r="AE880" s="31">
        <v>0</v>
      </c>
      <c r="AF880" s="34">
        <v>2021</v>
      </c>
      <c r="AG880" s="34">
        <v>2021</v>
      </c>
      <c r="AH880" s="35">
        <v>2021</v>
      </c>
      <c r="AT880" s="20" t="e">
        <f t="shared" si="178"/>
        <v>#N/A</v>
      </c>
      <c r="BZ880" s="71"/>
      <c r="CD880" s="20" t="e">
        <f t="shared" si="172"/>
        <v>#N/A</v>
      </c>
    </row>
    <row r="881" spans="1:82" ht="61.5" x14ac:dyDescent="0.85">
      <c r="B881" s="24" t="s">
        <v>865</v>
      </c>
      <c r="C881" s="166"/>
      <c r="D881" s="31">
        <f t="shared" ref="D881:AE881" si="181">D882</f>
        <v>2981647.8</v>
      </c>
      <c r="E881" s="31">
        <f t="shared" si="181"/>
        <v>0</v>
      </c>
      <c r="F881" s="31">
        <f t="shared" si="181"/>
        <v>0</v>
      </c>
      <c r="G881" s="31">
        <f t="shared" si="181"/>
        <v>0</v>
      </c>
      <c r="H881" s="31">
        <f t="shared" si="181"/>
        <v>0</v>
      </c>
      <c r="I881" s="31">
        <f t="shared" si="181"/>
        <v>0</v>
      </c>
      <c r="J881" s="31">
        <f t="shared" si="181"/>
        <v>0</v>
      </c>
      <c r="K881" s="33">
        <f t="shared" si="181"/>
        <v>0</v>
      </c>
      <c r="L881" s="31">
        <f t="shared" si="181"/>
        <v>0</v>
      </c>
      <c r="M881" s="31">
        <f t="shared" si="181"/>
        <v>571</v>
      </c>
      <c r="N881" s="31">
        <f t="shared" si="181"/>
        <v>2789800.79</v>
      </c>
      <c r="O881" s="31">
        <f t="shared" si="181"/>
        <v>0</v>
      </c>
      <c r="P881" s="31">
        <f t="shared" si="181"/>
        <v>0</v>
      </c>
      <c r="Q881" s="31">
        <f t="shared" si="181"/>
        <v>0</v>
      </c>
      <c r="R881" s="31">
        <f t="shared" si="181"/>
        <v>0</v>
      </c>
      <c r="S881" s="31">
        <f t="shared" si="181"/>
        <v>0</v>
      </c>
      <c r="T881" s="31">
        <f t="shared" si="181"/>
        <v>0</v>
      </c>
      <c r="U881" s="31">
        <f t="shared" si="181"/>
        <v>0</v>
      </c>
      <c r="V881" s="31">
        <f t="shared" si="181"/>
        <v>0</v>
      </c>
      <c r="W881" s="31">
        <f t="shared" si="181"/>
        <v>0</v>
      </c>
      <c r="X881" s="31">
        <f t="shared" si="181"/>
        <v>0</v>
      </c>
      <c r="Y881" s="31">
        <f t="shared" si="181"/>
        <v>0</v>
      </c>
      <c r="Z881" s="31">
        <f t="shared" si="181"/>
        <v>0</v>
      </c>
      <c r="AA881" s="31">
        <f t="shared" si="181"/>
        <v>0</v>
      </c>
      <c r="AB881" s="31">
        <f t="shared" si="181"/>
        <v>0</v>
      </c>
      <c r="AC881" s="31">
        <f t="shared" si="181"/>
        <v>41847.01</v>
      </c>
      <c r="AD881" s="31">
        <f t="shared" si="181"/>
        <v>150000</v>
      </c>
      <c r="AE881" s="31">
        <f t="shared" si="181"/>
        <v>0</v>
      </c>
      <c r="AF881" s="72" t="s">
        <v>776</v>
      </c>
      <c r="AG881" s="72" t="s">
        <v>776</v>
      </c>
      <c r="AH881" s="89" t="s">
        <v>776</v>
      </c>
      <c r="AT881" s="20" t="e">
        <f t="shared" si="178"/>
        <v>#N/A</v>
      </c>
      <c r="BZ881" s="71">
        <v>2981647.8</v>
      </c>
      <c r="CD881" s="20" t="e">
        <f t="shared" si="172"/>
        <v>#N/A</v>
      </c>
    </row>
    <row r="882" spans="1:82" ht="61.5" x14ac:dyDescent="0.85">
      <c r="A882" s="20">
        <v>1</v>
      </c>
      <c r="B882" s="66">
        <f>SUBTOTAL(103,$A$554:A882)</f>
        <v>299</v>
      </c>
      <c r="C882" s="24" t="s">
        <v>107</v>
      </c>
      <c r="D882" s="31">
        <f>E882+F882+G882+H882+I882+J882+L882+N882+P882+R882+T882+U882+V882+W882+X882+Y882+Z882+AA882+AB882+AC882+AD882+AE882</f>
        <v>2981647.8</v>
      </c>
      <c r="E882" s="31">
        <v>0</v>
      </c>
      <c r="F882" s="31">
        <v>0</v>
      </c>
      <c r="G882" s="31">
        <v>0</v>
      </c>
      <c r="H882" s="31">
        <v>0</v>
      </c>
      <c r="I882" s="31">
        <v>0</v>
      </c>
      <c r="J882" s="31">
        <v>0</v>
      </c>
      <c r="K882" s="33">
        <v>0</v>
      </c>
      <c r="L882" s="31">
        <v>0</v>
      </c>
      <c r="M882" s="31">
        <v>571</v>
      </c>
      <c r="N882" s="31">
        <v>2789800.79</v>
      </c>
      <c r="O882" s="31">
        <v>0</v>
      </c>
      <c r="P882" s="31">
        <v>0</v>
      </c>
      <c r="Q882" s="31">
        <v>0</v>
      </c>
      <c r="R882" s="31">
        <v>0</v>
      </c>
      <c r="S882" s="31">
        <v>0</v>
      </c>
      <c r="T882" s="31">
        <v>0</v>
      </c>
      <c r="U882" s="31">
        <v>0</v>
      </c>
      <c r="V882" s="31">
        <v>0</v>
      </c>
      <c r="W882" s="31">
        <v>0</v>
      </c>
      <c r="X882" s="31">
        <v>0</v>
      </c>
      <c r="Y882" s="31">
        <v>0</v>
      </c>
      <c r="Z882" s="31">
        <v>0</v>
      </c>
      <c r="AA882" s="31">
        <v>0</v>
      </c>
      <c r="AB882" s="31">
        <v>0</v>
      </c>
      <c r="AC882" s="31">
        <f>ROUND(N882*1.5%,2)</f>
        <v>41847.01</v>
      </c>
      <c r="AD882" s="31">
        <v>150000</v>
      </c>
      <c r="AE882" s="31">
        <v>0</v>
      </c>
      <c r="AF882" s="34">
        <v>2021</v>
      </c>
      <c r="AG882" s="34">
        <v>2021</v>
      </c>
      <c r="AH882" s="35">
        <v>2021</v>
      </c>
      <c r="AT882" s="20" t="e">
        <f t="shared" si="178"/>
        <v>#N/A</v>
      </c>
      <c r="BZ882" s="71"/>
      <c r="CD882" s="20" t="e">
        <f t="shared" si="172"/>
        <v>#N/A</v>
      </c>
    </row>
    <row r="883" spans="1:82" ht="61.5" x14ac:dyDescent="0.85">
      <c r="B883" s="24" t="s">
        <v>899</v>
      </c>
      <c r="C883" s="24"/>
      <c r="D883" s="31">
        <f t="shared" ref="D883:AE883" si="182">D884</f>
        <v>4290230.8800000008</v>
      </c>
      <c r="E883" s="31">
        <f t="shared" si="182"/>
        <v>0</v>
      </c>
      <c r="F883" s="31">
        <f t="shared" si="182"/>
        <v>0</v>
      </c>
      <c r="G883" s="31">
        <f t="shared" si="182"/>
        <v>0</v>
      </c>
      <c r="H883" s="31">
        <f t="shared" si="182"/>
        <v>0</v>
      </c>
      <c r="I883" s="31">
        <f t="shared" si="182"/>
        <v>0</v>
      </c>
      <c r="J883" s="31">
        <f t="shared" si="182"/>
        <v>0</v>
      </c>
      <c r="K883" s="33">
        <f t="shared" si="182"/>
        <v>0</v>
      </c>
      <c r="L883" s="31">
        <f t="shared" si="182"/>
        <v>0</v>
      </c>
      <c r="M883" s="31">
        <f t="shared" si="182"/>
        <v>821.6</v>
      </c>
      <c r="N883" s="31">
        <f t="shared" si="182"/>
        <v>4079045.2</v>
      </c>
      <c r="O883" s="31">
        <f t="shared" si="182"/>
        <v>0</v>
      </c>
      <c r="P883" s="31">
        <f t="shared" si="182"/>
        <v>0</v>
      </c>
      <c r="Q883" s="31">
        <f t="shared" si="182"/>
        <v>0</v>
      </c>
      <c r="R883" s="31">
        <f t="shared" si="182"/>
        <v>0</v>
      </c>
      <c r="S883" s="31">
        <f t="shared" si="182"/>
        <v>0</v>
      </c>
      <c r="T883" s="31">
        <f t="shared" si="182"/>
        <v>0</v>
      </c>
      <c r="U883" s="31">
        <f t="shared" si="182"/>
        <v>0</v>
      </c>
      <c r="V883" s="31">
        <f t="shared" si="182"/>
        <v>0</v>
      </c>
      <c r="W883" s="31">
        <f t="shared" si="182"/>
        <v>0</v>
      </c>
      <c r="X883" s="31">
        <f t="shared" si="182"/>
        <v>0</v>
      </c>
      <c r="Y883" s="31">
        <f t="shared" si="182"/>
        <v>0</v>
      </c>
      <c r="Z883" s="31">
        <f t="shared" si="182"/>
        <v>0</v>
      </c>
      <c r="AA883" s="31">
        <f t="shared" si="182"/>
        <v>0</v>
      </c>
      <c r="AB883" s="31">
        <f t="shared" si="182"/>
        <v>0</v>
      </c>
      <c r="AC883" s="31">
        <f t="shared" si="182"/>
        <v>61185.68</v>
      </c>
      <c r="AD883" s="31">
        <f t="shared" si="182"/>
        <v>150000</v>
      </c>
      <c r="AE883" s="31">
        <f t="shared" si="182"/>
        <v>0</v>
      </c>
      <c r="AF883" s="72" t="s">
        <v>776</v>
      </c>
      <c r="AG883" s="72" t="s">
        <v>776</v>
      </c>
      <c r="AH883" s="89" t="s">
        <v>776</v>
      </c>
      <c r="AT883" s="20" t="e">
        <f t="shared" si="178"/>
        <v>#N/A</v>
      </c>
      <c r="BZ883" s="71">
        <v>4290230.8800000008</v>
      </c>
      <c r="CD883" s="20" t="e">
        <f t="shared" si="172"/>
        <v>#N/A</v>
      </c>
    </row>
    <row r="884" spans="1:82" ht="61.5" x14ac:dyDescent="0.85">
      <c r="A884" s="20">
        <v>1</v>
      </c>
      <c r="B884" s="66">
        <f>SUBTOTAL(103,$A$554:A884)</f>
        <v>300</v>
      </c>
      <c r="C884" s="24" t="s">
        <v>113</v>
      </c>
      <c r="D884" s="31">
        <f>E884+F884+G884+H884+I884+J884+L884+N884+P884+R884+T884+U884+V884+W884+X884+Y884+Z884+AA884+AB884+AC884+AD884+AE884</f>
        <v>4290230.8800000008</v>
      </c>
      <c r="E884" s="31">
        <v>0</v>
      </c>
      <c r="F884" s="31">
        <v>0</v>
      </c>
      <c r="G884" s="31">
        <v>0</v>
      </c>
      <c r="H884" s="31">
        <v>0</v>
      </c>
      <c r="I884" s="31">
        <v>0</v>
      </c>
      <c r="J884" s="31">
        <v>0</v>
      </c>
      <c r="K884" s="33">
        <v>0</v>
      </c>
      <c r="L884" s="31">
        <v>0</v>
      </c>
      <c r="M884" s="31">
        <v>821.6</v>
      </c>
      <c r="N884" s="31">
        <v>4079045.2</v>
      </c>
      <c r="O884" s="31">
        <v>0</v>
      </c>
      <c r="P884" s="31">
        <v>0</v>
      </c>
      <c r="Q884" s="31">
        <v>0</v>
      </c>
      <c r="R884" s="31">
        <v>0</v>
      </c>
      <c r="S884" s="31">
        <v>0</v>
      </c>
      <c r="T884" s="31">
        <v>0</v>
      </c>
      <c r="U884" s="31">
        <v>0</v>
      </c>
      <c r="V884" s="31">
        <v>0</v>
      </c>
      <c r="W884" s="31">
        <v>0</v>
      </c>
      <c r="X884" s="31">
        <v>0</v>
      </c>
      <c r="Y884" s="31">
        <v>0</v>
      </c>
      <c r="Z884" s="31">
        <v>0</v>
      </c>
      <c r="AA884" s="31">
        <v>0</v>
      </c>
      <c r="AB884" s="31">
        <v>0</v>
      </c>
      <c r="AC884" s="31">
        <f>ROUND(N884*1.5%,2)</f>
        <v>61185.68</v>
      </c>
      <c r="AD884" s="31">
        <v>150000</v>
      </c>
      <c r="AE884" s="31">
        <v>0</v>
      </c>
      <c r="AF884" s="34">
        <v>2021</v>
      </c>
      <c r="AG884" s="34">
        <v>2021</v>
      </c>
      <c r="AH884" s="35">
        <v>2021</v>
      </c>
      <c r="AT884" s="20" t="e">
        <f t="shared" si="178"/>
        <v>#N/A</v>
      </c>
      <c r="BZ884" s="71"/>
      <c r="CD884" s="20" t="e">
        <f t="shared" si="172"/>
        <v>#N/A</v>
      </c>
    </row>
    <row r="885" spans="1:82" ht="61.5" x14ac:dyDescent="0.85">
      <c r="B885" s="24" t="s">
        <v>900</v>
      </c>
      <c r="C885" s="24"/>
      <c r="D885" s="31">
        <f t="shared" ref="D885:AE885" si="183">D886</f>
        <v>2903320.8000000003</v>
      </c>
      <c r="E885" s="31">
        <f t="shared" si="183"/>
        <v>0</v>
      </c>
      <c r="F885" s="31">
        <f t="shared" si="183"/>
        <v>0</v>
      </c>
      <c r="G885" s="31">
        <f t="shared" si="183"/>
        <v>0</v>
      </c>
      <c r="H885" s="31">
        <f t="shared" si="183"/>
        <v>0</v>
      </c>
      <c r="I885" s="31">
        <f t="shared" si="183"/>
        <v>0</v>
      </c>
      <c r="J885" s="31">
        <f t="shared" si="183"/>
        <v>0</v>
      </c>
      <c r="K885" s="33">
        <f t="shared" si="183"/>
        <v>0</v>
      </c>
      <c r="L885" s="31">
        <f t="shared" si="183"/>
        <v>0</v>
      </c>
      <c r="M885" s="31">
        <f t="shared" si="183"/>
        <v>556</v>
      </c>
      <c r="N885" s="31">
        <f t="shared" si="183"/>
        <v>2712631.33</v>
      </c>
      <c r="O885" s="31">
        <f t="shared" si="183"/>
        <v>0</v>
      </c>
      <c r="P885" s="31">
        <f t="shared" si="183"/>
        <v>0</v>
      </c>
      <c r="Q885" s="31">
        <f t="shared" si="183"/>
        <v>0</v>
      </c>
      <c r="R885" s="31">
        <f t="shared" si="183"/>
        <v>0</v>
      </c>
      <c r="S885" s="31">
        <f t="shared" si="183"/>
        <v>0</v>
      </c>
      <c r="T885" s="31">
        <f t="shared" si="183"/>
        <v>0</v>
      </c>
      <c r="U885" s="31">
        <f t="shared" si="183"/>
        <v>0</v>
      </c>
      <c r="V885" s="31">
        <f t="shared" si="183"/>
        <v>0</v>
      </c>
      <c r="W885" s="31">
        <f t="shared" si="183"/>
        <v>0</v>
      </c>
      <c r="X885" s="31">
        <f t="shared" si="183"/>
        <v>0</v>
      </c>
      <c r="Y885" s="31">
        <f t="shared" si="183"/>
        <v>0</v>
      </c>
      <c r="Z885" s="31">
        <f t="shared" si="183"/>
        <v>0</v>
      </c>
      <c r="AA885" s="31">
        <f t="shared" si="183"/>
        <v>0</v>
      </c>
      <c r="AB885" s="31">
        <f t="shared" si="183"/>
        <v>0</v>
      </c>
      <c r="AC885" s="31">
        <f t="shared" si="183"/>
        <v>40689.47</v>
      </c>
      <c r="AD885" s="31">
        <f t="shared" si="183"/>
        <v>150000</v>
      </c>
      <c r="AE885" s="31">
        <f t="shared" si="183"/>
        <v>0</v>
      </c>
      <c r="AF885" s="72" t="s">
        <v>776</v>
      </c>
      <c r="AG885" s="72" t="s">
        <v>776</v>
      </c>
      <c r="AH885" s="89" t="s">
        <v>776</v>
      </c>
      <c r="AT885" s="20" t="e">
        <f t="shared" si="178"/>
        <v>#N/A</v>
      </c>
      <c r="BZ885" s="71">
        <v>2903320.8000000003</v>
      </c>
      <c r="CD885" s="20" t="e">
        <f t="shared" si="172"/>
        <v>#N/A</v>
      </c>
    </row>
    <row r="886" spans="1:82" ht="61.5" x14ac:dyDescent="0.85">
      <c r="A886" s="20">
        <v>1</v>
      </c>
      <c r="B886" s="66">
        <f>SUBTOTAL(103,$A$554:A886)</f>
        <v>301</v>
      </c>
      <c r="C886" s="24" t="s">
        <v>112</v>
      </c>
      <c r="D886" s="31">
        <f>E886+F886+G886+H886+I886+J886+L886+N886+P886+R886+T886+U886+V886+W886+X886+Y886+Z886+AA886+AB886+AC886+AD886+AE886</f>
        <v>2903320.8000000003</v>
      </c>
      <c r="E886" s="31">
        <v>0</v>
      </c>
      <c r="F886" s="31">
        <v>0</v>
      </c>
      <c r="G886" s="31">
        <v>0</v>
      </c>
      <c r="H886" s="31">
        <v>0</v>
      </c>
      <c r="I886" s="31">
        <v>0</v>
      </c>
      <c r="J886" s="31">
        <v>0</v>
      </c>
      <c r="K886" s="33">
        <v>0</v>
      </c>
      <c r="L886" s="31">
        <v>0</v>
      </c>
      <c r="M886" s="31">
        <v>556</v>
      </c>
      <c r="N886" s="31">
        <v>2712631.33</v>
      </c>
      <c r="O886" s="31">
        <v>0</v>
      </c>
      <c r="P886" s="31">
        <v>0</v>
      </c>
      <c r="Q886" s="31">
        <v>0</v>
      </c>
      <c r="R886" s="31">
        <v>0</v>
      </c>
      <c r="S886" s="31">
        <v>0</v>
      </c>
      <c r="T886" s="31">
        <v>0</v>
      </c>
      <c r="U886" s="31">
        <v>0</v>
      </c>
      <c r="V886" s="31">
        <v>0</v>
      </c>
      <c r="W886" s="31">
        <v>0</v>
      </c>
      <c r="X886" s="31">
        <v>0</v>
      </c>
      <c r="Y886" s="31">
        <v>0</v>
      </c>
      <c r="Z886" s="31">
        <v>0</v>
      </c>
      <c r="AA886" s="31">
        <v>0</v>
      </c>
      <c r="AB886" s="31">
        <v>0</v>
      </c>
      <c r="AC886" s="31">
        <f>ROUND(N886*1.5%,2)</f>
        <v>40689.47</v>
      </c>
      <c r="AD886" s="31">
        <v>150000</v>
      </c>
      <c r="AE886" s="31">
        <v>0</v>
      </c>
      <c r="AF886" s="34">
        <v>2021</v>
      </c>
      <c r="AG886" s="34">
        <v>2021</v>
      </c>
      <c r="AH886" s="35">
        <v>2021</v>
      </c>
      <c r="AT886" s="20" t="e">
        <f t="shared" si="178"/>
        <v>#N/A</v>
      </c>
      <c r="BZ886" s="71"/>
      <c r="CD886" s="20" t="e">
        <f t="shared" si="172"/>
        <v>#N/A</v>
      </c>
    </row>
    <row r="887" spans="1:82" ht="61.5" x14ac:dyDescent="0.85">
      <c r="B887" s="24" t="s">
        <v>866</v>
      </c>
      <c r="C887" s="166"/>
      <c r="D887" s="31">
        <f t="shared" ref="D887:AE887" si="184">D888</f>
        <v>3826397.3000000003</v>
      </c>
      <c r="E887" s="31">
        <f t="shared" si="184"/>
        <v>0</v>
      </c>
      <c r="F887" s="31">
        <f t="shared" si="184"/>
        <v>0</v>
      </c>
      <c r="G887" s="31">
        <f t="shared" si="184"/>
        <v>0</v>
      </c>
      <c r="H887" s="31">
        <f t="shared" si="184"/>
        <v>0</v>
      </c>
      <c r="I887" s="31">
        <f t="shared" si="184"/>
        <v>0</v>
      </c>
      <c r="J887" s="31">
        <f t="shared" si="184"/>
        <v>0</v>
      </c>
      <c r="K887" s="33">
        <f t="shared" si="184"/>
        <v>0</v>
      </c>
      <c r="L887" s="31">
        <f t="shared" si="184"/>
        <v>0</v>
      </c>
      <c r="M887" s="31">
        <f t="shared" si="184"/>
        <v>794.3</v>
      </c>
      <c r="N887" s="31">
        <f t="shared" si="184"/>
        <v>3622066.31</v>
      </c>
      <c r="O887" s="31">
        <f t="shared" si="184"/>
        <v>0</v>
      </c>
      <c r="P887" s="31">
        <f t="shared" si="184"/>
        <v>0</v>
      </c>
      <c r="Q887" s="31">
        <f t="shared" si="184"/>
        <v>0</v>
      </c>
      <c r="R887" s="31">
        <f t="shared" si="184"/>
        <v>0</v>
      </c>
      <c r="S887" s="31">
        <f t="shared" si="184"/>
        <v>0</v>
      </c>
      <c r="T887" s="31">
        <f t="shared" si="184"/>
        <v>0</v>
      </c>
      <c r="U887" s="31">
        <f t="shared" si="184"/>
        <v>0</v>
      </c>
      <c r="V887" s="31">
        <f t="shared" si="184"/>
        <v>0</v>
      </c>
      <c r="W887" s="31">
        <f t="shared" si="184"/>
        <v>0</v>
      </c>
      <c r="X887" s="31">
        <f t="shared" si="184"/>
        <v>0</v>
      </c>
      <c r="Y887" s="31">
        <f t="shared" si="184"/>
        <v>0</v>
      </c>
      <c r="Z887" s="31">
        <f t="shared" si="184"/>
        <v>0</v>
      </c>
      <c r="AA887" s="31">
        <f t="shared" si="184"/>
        <v>0</v>
      </c>
      <c r="AB887" s="31">
        <f t="shared" si="184"/>
        <v>0</v>
      </c>
      <c r="AC887" s="31">
        <f t="shared" si="184"/>
        <v>54330.99</v>
      </c>
      <c r="AD887" s="31">
        <f t="shared" si="184"/>
        <v>150000</v>
      </c>
      <c r="AE887" s="31">
        <f t="shared" si="184"/>
        <v>0</v>
      </c>
      <c r="AF887" s="72" t="s">
        <v>776</v>
      </c>
      <c r="AG887" s="72" t="s">
        <v>776</v>
      </c>
      <c r="AH887" s="89" t="s">
        <v>776</v>
      </c>
      <c r="AT887" s="20" t="e">
        <f t="shared" si="178"/>
        <v>#N/A</v>
      </c>
      <c r="BZ887" s="71">
        <v>3826397.3000000003</v>
      </c>
      <c r="CD887" s="20" t="e">
        <f t="shared" si="172"/>
        <v>#N/A</v>
      </c>
    </row>
    <row r="888" spans="1:82" ht="61.5" x14ac:dyDescent="0.85">
      <c r="A888" s="20">
        <v>1</v>
      </c>
      <c r="B888" s="66">
        <f>SUBTOTAL(103,$A$554:A888)</f>
        <v>302</v>
      </c>
      <c r="C888" s="24" t="s">
        <v>57</v>
      </c>
      <c r="D888" s="31">
        <f>E888+F888+G888+H888+I888+J888+L888+N888+P888+R888+T888+U888+V888+W888+X888+Y888+Z888+AA888+AB888+AC888+AD888+AE888</f>
        <v>3826397.3000000003</v>
      </c>
      <c r="E888" s="31">
        <v>0</v>
      </c>
      <c r="F888" s="31">
        <v>0</v>
      </c>
      <c r="G888" s="31">
        <v>0</v>
      </c>
      <c r="H888" s="31">
        <v>0</v>
      </c>
      <c r="I888" s="31">
        <v>0</v>
      </c>
      <c r="J888" s="31">
        <v>0</v>
      </c>
      <c r="K888" s="33">
        <v>0</v>
      </c>
      <c r="L888" s="31">
        <v>0</v>
      </c>
      <c r="M888" s="31">
        <v>794.3</v>
      </c>
      <c r="N888" s="31">
        <v>3622066.31</v>
      </c>
      <c r="O888" s="31">
        <v>0</v>
      </c>
      <c r="P888" s="31">
        <v>0</v>
      </c>
      <c r="Q888" s="31">
        <v>0</v>
      </c>
      <c r="R888" s="31">
        <v>0</v>
      </c>
      <c r="S888" s="31">
        <v>0</v>
      </c>
      <c r="T888" s="31">
        <v>0</v>
      </c>
      <c r="U888" s="31">
        <v>0</v>
      </c>
      <c r="V888" s="31">
        <v>0</v>
      </c>
      <c r="W888" s="31">
        <v>0</v>
      </c>
      <c r="X888" s="31">
        <v>0</v>
      </c>
      <c r="Y888" s="31">
        <v>0</v>
      </c>
      <c r="Z888" s="31">
        <v>0</v>
      </c>
      <c r="AA888" s="31">
        <v>0</v>
      </c>
      <c r="AB888" s="31">
        <v>0</v>
      </c>
      <c r="AC888" s="31">
        <f>ROUND(N888*1.5%,2)</f>
        <v>54330.99</v>
      </c>
      <c r="AD888" s="31">
        <v>150000</v>
      </c>
      <c r="AE888" s="31">
        <v>0</v>
      </c>
      <c r="AF888" s="34">
        <v>2021</v>
      </c>
      <c r="AG888" s="34">
        <v>2021</v>
      </c>
      <c r="AH888" s="35">
        <v>2021</v>
      </c>
      <c r="AT888" s="20" t="e">
        <f t="shared" si="178"/>
        <v>#N/A</v>
      </c>
      <c r="BZ888" s="71"/>
      <c r="CD888" s="20" t="e">
        <f t="shared" si="172"/>
        <v>#N/A</v>
      </c>
    </row>
    <row r="889" spans="1:82" ht="61.5" x14ac:dyDescent="0.85">
      <c r="B889" s="24" t="s">
        <v>867</v>
      </c>
      <c r="C889" s="24"/>
      <c r="D889" s="31">
        <f t="shared" ref="D889:AE889" si="185">D890</f>
        <v>5858309.4800000004</v>
      </c>
      <c r="E889" s="31">
        <f t="shared" si="185"/>
        <v>0</v>
      </c>
      <c r="F889" s="31">
        <f t="shared" si="185"/>
        <v>0</v>
      </c>
      <c r="G889" s="31">
        <f t="shared" si="185"/>
        <v>0</v>
      </c>
      <c r="H889" s="31">
        <f t="shared" si="185"/>
        <v>0</v>
      </c>
      <c r="I889" s="31">
        <f t="shared" si="185"/>
        <v>0</v>
      </c>
      <c r="J889" s="31">
        <f t="shared" si="185"/>
        <v>0</v>
      </c>
      <c r="K889" s="33">
        <f t="shared" si="185"/>
        <v>0</v>
      </c>
      <c r="L889" s="31">
        <f t="shared" si="185"/>
        <v>0</v>
      </c>
      <c r="M889" s="31">
        <f t="shared" si="185"/>
        <v>1576</v>
      </c>
      <c r="N889" s="31">
        <f t="shared" si="185"/>
        <v>5594393.5800000001</v>
      </c>
      <c r="O889" s="31">
        <f t="shared" si="185"/>
        <v>0</v>
      </c>
      <c r="P889" s="31">
        <f t="shared" si="185"/>
        <v>0</v>
      </c>
      <c r="Q889" s="31">
        <f t="shared" si="185"/>
        <v>0</v>
      </c>
      <c r="R889" s="31">
        <f t="shared" si="185"/>
        <v>0</v>
      </c>
      <c r="S889" s="31">
        <f t="shared" si="185"/>
        <v>0</v>
      </c>
      <c r="T889" s="31">
        <f t="shared" si="185"/>
        <v>0</v>
      </c>
      <c r="U889" s="31">
        <f t="shared" si="185"/>
        <v>0</v>
      </c>
      <c r="V889" s="31">
        <f t="shared" si="185"/>
        <v>0</v>
      </c>
      <c r="W889" s="31">
        <f t="shared" si="185"/>
        <v>0</v>
      </c>
      <c r="X889" s="31">
        <f t="shared" si="185"/>
        <v>0</v>
      </c>
      <c r="Y889" s="31">
        <f t="shared" si="185"/>
        <v>0</v>
      </c>
      <c r="Z889" s="31">
        <f t="shared" si="185"/>
        <v>0</v>
      </c>
      <c r="AA889" s="31">
        <f t="shared" si="185"/>
        <v>0</v>
      </c>
      <c r="AB889" s="31">
        <f t="shared" si="185"/>
        <v>0</v>
      </c>
      <c r="AC889" s="31">
        <f t="shared" si="185"/>
        <v>83915.9</v>
      </c>
      <c r="AD889" s="31">
        <f t="shared" si="185"/>
        <v>180000</v>
      </c>
      <c r="AE889" s="31">
        <f t="shared" si="185"/>
        <v>0</v>
      </c>
      <c r="AF889" s="72" t="s">
        <v>776</v>
      </c>
      <c r="AG889" s="72" t="s">
        <v>776</v>
      </c>
      <c r="AH889" s="89" t="s">
        <v>776</v>
      </c>
      <c r="AT889" s="20" t="e">
        <f t="shared" si="178"/>
        <v>#N/A</v>
      </c>
      <c r="BZ889" s="71">
        <v>5858309.4800000004</v>
      </c>
      <c r="CD889" s="20" t="e">
        <f t="shared" si="172"/>
        <v>#N/A</v>
      </c>
    </row>
    <row r="890" spans="1:82" ht="61.5" x14ac:dyDescent="0.85">
      <c r="A890" s="20">
        <v>1</v>
      </c>
      <c r="B890" s="66">
        <f>SUBTOTAL(103,$A$554:A890)</f>
        <v>303</v>
      </c>
      <c r="C890" s="24" t="s">
        <v>41</v>
      </c>
      <c r="D890" s="31">
        <f>E890+F890+G890+H890+I890+J890+L890+N890+P890+R890+T890+U890+V890+W890+X890+Y890+Z890+AA890+AB890+AC890+AD890+AE890</f>
        <v>5858309.4800000004</v>
      </c>
      <c r="E890" s="31">
        <v>0</v>
      </c>
      <c r="F890" s="31">
        <v>0</v>
      </c>
      <c r="G890" s="31">
        <v>0</v>
      </c>
      <c r="H890" s="31">
        <v>0</v>
      </c>
      <c r="I890" s="31">
        <v>0</v>
      </c>
      <c r="J890" s="31">
        <v>0</v>
      </c>
      <c r="K890" s="33">
        <v>0</v>
      </c>
      <c r="L890" s="31">
        <v>0</v>
      </c>
      <c r="M890" s="31">
        <v>1576</v>
      </c>
      <c r="N890" s="31">
        <v>5594393.5800000001</v>
      </c>
      <c r="O890" s="31">
        <v>0</v>
      </c>
      <c r="P890" s="31">
        <v>0</v>
      </c>
      <c r="Q890" s="31">
        <v>0</v>
      </c>
      <c r="R890" s="31">
        <v>0</v>
      </c>
      <c r="S890" s="31">
        <v>0</v>
      </c>
      <c r="T890" s="31">
        <v>0</v>
      </c>
      <c r="U890" s="31">
        <v>0</v>
      </c>
      <c r="V890" s="31">
        <v>0</v>
      </c>
      <c r="W890" s="31">
        <v>0</v>
      </c>
      <c r="X890" s="31">
        <v>0</v>
      </c>
      <c r="Y890" s="31">
        <v>0</v>
      </c>
      <c r="Z890" s="31">
        <v>0</v>
      </c>
      <c r="AA890" s="31">
        <v>0</v>
      </c>
      <c r="AB890" s="31">
        <v>0</v>
      </c>
      <c r="AC890" s="31">
        <f>ROUND(N890*1.5%,2)</f>
        <v>83915.9</v>
      </c>
      <c r="AD890" s="31">
        <v>180000</v>
      </c>
      <c r="AE890" s="31">
        <v>0</v>
      </c>
      <c r="AF890" s="34">
        <v>2021</v>
      </c>
      <c r="AG890" s="34">
        <v>2021</v>
      </c>
      <c r="AH890" s="35">
        <v>2021</v>
      </c>
      <c r="AT890" s="20" t="e">
        <f t="shared" si="178"/>
        <v>#N/A</v>
      </c>
      <c r="BZ890" s="71"/>
      <c r="CD890" s="20" t="e">
        <f t="shared" si="172"/>
        <v>#N/A</v>
      </c>
    </row>
    <row r="891" spans="1:82" ht="61.5" x14ac:dyDescent="0.85">
      <c r="B891" s="24" t="s">
        <v>901</v>
      </c>
      <c r="C891" s="24"/>
      <c r="D891" s="31">
        <f t="shared" ref="D891:AE891" si="186">D892</f>
        <v>3274450.4</v>
      </c>
      <c r="E891" s="31">
        <f t="shared" si="186"/>
        <v>0</v>
      </c>
      <c r="F891" s="31">
        <f t="shared" si="186"/>
        <v>0</v>
      </c>
      <c r="G891" s="31">
        <f t="shared" si="186"/>
        <v>0</v>
      </c>
      <c r="H891" s="31">
        <f t="shared" si="186"/>
        <v>0</v>
      </c>
      <c r="I891" s="31">
        <f t="shared" si="186"/>
        <v>0</v>
      </c>
      <c r="J891" s="31">
        <f t="shared" si="186"/>
        <v>0</v>
      </c>
      <c r="K891" s="33">
        <f t="shared" si="186"/>
        <v>0</v>
      </c>
      <c r="L891" s="31">
        <f t="shared" si="186"/>
        <v>0</v>
      </c>
      <c r="M891" s="31">
        <f t="shared" si="186"/>
        <v>609.79999999999995</v>
      </c>
      <c r="N891" s="31">
        <f t="shared" si="186"/>
        <v>3078276.26</v>
      </c>
      <c r="O891" s="31">
        <f t="shared" si="186"/>
        <v>0</v>
      </c>
      <c r="P891" s="31">
        <f t="shared" si="186"/>
        <v>0</v>
      </c>
      <c r="Q891" s="31">
        <f t="shared" si="186"/>
        <v>0</v>
      </c>
      <c r="R891" s="31">
        <f t="shared" si="186"/>
        <v>0</v>
      </c>
      <c r="S891" s="31">
        <f t="shared" si="186"/>
        <v>0</v>
      </c>
      <c r="T891" s="31">
        <f t="shared" si="186"/>
        <v>0</v>
      </c>
      <c r="U891" s="31">
        <f t="shared" si="186"/>
        <v>0</v>
      </c>
      <c r="V891" s="31">
        <f t="shared" si="186"/>
        <v>0</v>
      </c>
      <c r="W891" s="31">
        <f t="shared" si="186"/>
        <v>0</v>
      </c>
      <c r="X891" s="31">
        <f t="shared" si="186"/>
        <v>0</v>
      </c>
      <c r="Y891" s="31">
        <f t="shared" si="186"/>
        <v>0</v>
      </c>
      <c r="Z891" s="31">
        <f t="shared" si="186"/>
        <v>0</v>
      </c>
      <c r="AA891" s="31">
        <f t="shared" si="186"/>
        <v>0</v>
      </c>
      <c r="AB891" s="31">
        <f t="shared" si="186"/>
        <v>0</v>
      </c>
      <c r="AC891" s="31">
        <f t="shared" si="186"/>
        <v>46174.14</v>
      </c>
      <c r="AD891" s="31">
        <f t="shared" si="186"/>
        <v>150000</v>
      </c>
      <c r="AE891" s="31">
        <f t="shared" si="186"/>
        <v>0</v>
      </c>
      <c r="AF891" s="72" t="s">
        <v>776</v>
      </c>
      <c r="AG891" s="72" t="s">
        <v>776</v>
      </c>
      <c r="AH891" s="89" t="s">
        <v>776</v>
      </c>
      <c r="AT891" s="20" t="e">
        <f t="shared" si="178"/>
        <v>#N/A</v>
      </c>
      <c r="BZ891" s="71">
        <v>3274450.4</v>
      </c>
      <c r="CD891" s="20" t="e">
        <f t="shared" si="172"/>
        <v>#N/A</v>
      </c>
    </row>
    <row r="892" spans="1:82" ht="61.5" x14ac:dyDescent="0.85">
      <c r="A892" s="20">
        <v>1</v>
      </c>
      <c r="B892" s="66">
        <f>SUBTOTAL(103,$A$554:A892)</f>
        <v>304</v>
      </c>
      <c r="C892" s="24" t="s">
        <v>55</v>
      </c>
      <c r="D892" s="31">
        <f>E892+F892+G892+H892+I892+J892+L892+N892+P892+R892+T892+U892+V892+W892+X892+Y892+Z892+AA892+AB892+AC892+AD892+AE892</f>
        <v>3274450.4</v>
      </c>
      <c r="E892" s="31">
        <v>0</v>
      </c>
      <c r="F892" s="31">
        <v>0</v>
      </c>
      <c r="G892" s="31">
        <v>0</v>
      </c>
      <c r="H892" s="31">
        <v>0</v>
      </c>
      <c r="I892" s="31">
        <v>0</v>
      </c>
      <c r="J892" s="31">
        <v>0</v>
      </c>
      <c r="K892" s="33">
        <v>0</v>
      </c>
      <c r="L892" s="31">
        <v>0</v>
      </c>
      <c r="M892" s="31">
        <v>609.79999999999995</v>
      </c>
      <c r="N892" s="31">
        <v>3078276.26</v>
      </c>
      <c r="O892" s="31">
        <v>0</v>
      </c>
      <c r="P892" s="31">
        <v>0</v>
      </c>
      <c r="Q892" s="31">
        <v>0</v>
      </c>
      <c r="R892" s="31">
        <v>0</v>
      </c>
      <c r="S892" s="31">
        <v>0</v>
      </c>
      <c r="T892" s="31">
        <v>0</v>
      </c>
      <c r="U892" s="31">
        <v>0</v>
      </c>
      <c r="V892" s="31">
        <v>0</v>
      </c>
      <c r="W892" s="31">
        <v>0</v>
      </c>
      <c r="X892" s="31">
        <v>0</v>
      </c>
      <c r="Y892" s="31">
        <v>0</v>
      </c>
      <c r="Z892" s="31">
        <v>0</v>
      </c>
      <c r="AA892" s="31">
        <v>0</v>
      </c>
      <c r="AB892" s="31">
        <v>0</v>
      </c>
      <c r="AC892" s="31">
        <f>ROUND(N892*1.5%,2)</f>
        <v>46174.14</v>
      </c>
      <c r="AD892" s="31">
        <v>150000</v>
      </c>
      <c r="AE892" s="31">
        <v>0</v>
      </c>
      <c r="AF892" s="34">
        <v>2021</v>
      </c>
      <c r="AG892" s="34">
        <v>2021</v>
      </c>
      <c r="AH892" s="35">
        <v>2021</v>
      </c>
      <c r="AT892" s="20" t="e">
        <f t="shared" si="178"/>
        <v>#N/A</v>
      </c>
      <c r="BZ892" s="71"/>
      <c r="CD892" s="20" t="e">
        <f t="shared" si="172"/>
        <v>#N/A</v>
      </c>
    </row>
    <row r="893" spans="1:82" ht="61.5" x14ac:dyDescent="0.85">
      <c r="B893" s="24" t="s">
        <v>868</v>
      </c>
      <c r="C893" s="24"/>
      <c r="D893" s="31">
        <f>SUM(D894:D896)</f>
        <v>12199052.439999999</v>
      </c>
      <c r="E893" s="31">
        <f t="shared" ref="E893:AE893" si="187">SUM(E894:E896)</f>
        <v>0</v>
      </c>
      <c r="F893" s="31">
        <f t="shared" si="187"/>
        <v>0</v>
      </c>
      <c r="G893" s="31">
        <f t="shared" si="187"/>
        <v>3177624.7</v>
      </c>
      <c r="H893" s="31">
        <f t="shared" si="187"/>
        <v>1177032.5</v>
      </c>
      <c r="I893" s="31">
        <f t="shared" si="187"/>
        <v>0</v>
      </c>
      <c r="J893" s="31">
        <f t="shared" si="187"/>
        <v>0</v>
      </c>
      <c r="K893" s="33">
        <f t="shared" si="187"/>
        <v>0</v>
      </c>
      <c r="L893" s="31">
        <f t="shared" si="187"/>
        <v>0</v>
      </c>
      <c r="M893" s="31">
        <f t="shared" si="187"/>
        <v>1328.6</v>
      </c>
      <c r="N893" s="31">
        <f t="shared" si="187"/>
        <v>7102537.3200000003</v>
      </c>
      <c r="O893" s="31">
        <f t="shared" si="187"/>
        <v>0</v>
      </c>
      <c r="P893" s="31">
        <f t="shared" si="187"/>
        <v>0</v>
      </c>
      <c r="Q893" s="31">
        <f t="shared" si="187"/>
        <v>0</v>
      </c>
      <c r="R893" s="31">
        <f t="shared" si="187"/>
        <v>0</v>
      </c>
      <c r="S893" s="31">
        <f t="shared" si="187"/>
        <v>0</v>
      </c>
      <c r="T893" s="31">
        <f t="shared" si="187"/>
        <v>0</v>
      </c>
      <c r="U893" s="31">
        <f t="shared" si="187"/>
        <v>0</v>
      </c>
      <c r="V893" s="31">
        <f t="shared" si="187"/>
        <v>0</v>
      </c>
      <c r="W893" s="31">
        <f t="shared" si="187"/>
        <v>0</v>
      </c>
      <c r="X893" s="31">
        <f t="shared" si="187"/>
        <v>0</v>
      </c>
      <c r="Y893" s="31">
        <f t="shared" si="187"/>
        <v>0</v>
      </c>
      <c r="Z893" s="31">
        <f t="shared" si="187"/>
        <v>0</v>
      </c>
      <c r="AA893" s="31">
        <f t="shared" si="187"/>
        <v>0</v>
      </c>
      <c r="AB893" s="31">
        <f t="shared" si="187"/>
        <v>0</v>
      </c>
      <c r="AC893" s="31">
        <f t="shared" si="187"/>
        <v>171857.92000000001</v>
      </c>
      <c r="AD893" s="31">
        <f t="shared" si="187"/>
        <v>570000</v>
      </c>
      <c r="AE893" s="31">
        <f t="shared" si="187"/>
        <v>0</v>
      </c>
      <c r="AF893" s="72" t="s">
        <v>776</v>
      </c>
      <c r="AG893" s="72" t="s">
        <v>776</v>
      </c>
      <c r="AH893" s="89" t="s">
        <v>776</v>
      </c>
      <c r="AT893" s="20" t="e">
        <f t="shared" si="178"/>
        <v>#N/A</v>
      </c>
      <c r="BZ893" s="71">
        <v>12199052.439999999</v>
      </c>
      <c r="CD893" s="20" t="e">
        <f t="shared" si="172"/>
        <v>#N/A</v>
      </c>
    </row>
    <row r="894" spans="1:82" ht="61.5" x14ac:dyDescent="0.85">
      <c r="A894" s="20">
        <v>1</v>
      </c>
      <c r="B894" s="66">
        <f>SUBTOTAL(103,$A$554:A894)</f>
        <v>305</v>
      </c>
      <c r="C894" s="24" t="s">
        <v>56</v>
      </c>
      <c r="D894" s="31">
        <f>E894+F894+G894+H894+I894+J894+L894+N894+P894+R894+T894+U894+V894+W894+X894+Y894+Z894+AA894+AB894+AC894+AD894+AE894</f>
        <v>4719977.0600000005</v>
      </c>
      <c r="E894" s="31">
        <v>0</v>
      </c>
      <c r="F894" s="31">
        <v>0</v>
      </c>
      <c r="G894" s="31">
        <v>3177624.7</v>
      </c>
      <c r="H894" s="31">
        <v>1177032.5</v>
      </c>
      <c r="I894" s="31">
        <v>0</v>
      </c>
      <c r="J894" s="31">
        <v>0</v>
      </c>
      <c r="K894" s="33">
        <v>0</v>
      </c>
      <c r="L894" s="31">
        <v>0</v>
      </c>
      <c r="M894" s="31">
        <v>0</v>
      </c>
      <c r="N894" s="31">
        <v>0</v>
      </c>
      <c r="O894" s="31">
        <v>0</v>
      </c>
      <c r="P894" s="31">
        <v>0</v>
      </c>
      <c r="Q894" s="31">
        <v>0</v>
      </c>
      <c r="R894" s="31">
        <v>0</v>
      </c>
      <c r="S894" s="31">
        <v>0</v>
      </c>
      <c r="T894" s="31">
        <v>0</v>
      </c>
      <c r="U894" s="31">
        <v>0</v>
      </c>
      <c r="V894" s="31">
        <v>0</v>
      </c>
      <c r="W894" s="31">
        <v>0</v>
      </c>
      <c r="X894" s="31">
        <v>0</v>
      </c>
      <c r="Y894" s="31">
        <v>0</v>
      </c>
      <c r="Z894" s="31">
        <v>0</v>
      </c>
      <c r="AA894" s="31">
        <v>0</v>
      </c>
      <c r="AB894" s="31">
        <v>0</v>
      </c>
      <c r="AC894" s="31">
        <f>ROUND((E894+F894+G894+H894+I894+J894)*1.5%,2)</f>
        <v>65319.86</v>
      </c>
      <c r="AD894" s="31">
        <v>300000</v>
      </c>
      <c r="AE894" s="31">
        <v>0</v>
      </c>
      <c r="AF894" s="34">
        <v>2021</v>
      </c>
      <c r="AG894" s="34">
        <v>2021</v>
      </c>
      <c r="AH894" s="35">
        <v>2021</v>
      </c>
      <c r="AT894" s="20" t="e">
        <f t="shared" si="178"/>
        <v>#N/A</v>
      </c>
      <c r="BZ894" s="71"/>
      <c r="CD894" s="20" t="e">
        <f t="shared" si="172"/>
        <v>#N/A</v>
      </c>
    </row>
    <row r="895" spans="1:82" ht="61.5" x14ac:dyDescent="0.85">
      <c r="A895" s="20">
        <v>1</v>
      </c>
      <c r="B895" s="66">
        <f>SUBTOTAL(103,$A$554:A895)</f>
        <v>306</v>
      </c>
      <c r="C895" s="24" t="s">
        <v>46</v>
      </c>
      <c r="D895" s="31">
        <f>E895+F895+G895+H895+I895+J895+L895+N895+P895+R895+T895+U895+V895+W895+X895+Y895+Z895+AA895+AB895+AC895+AD895+AE895</f>
        <v>3947511.93</v>
      </c>
      <c r="E895" s="31">
        <v>0</v>
      </c>
      <c r="F895" s="31">
        <v>0</v>
      </c>
      <c r="G895" s="31">
        <v>0</v>
      </c>
      <c r="H895" s="31">
        <v>0</v>
      </c>
      <c r="I895" s="31">
        <v>0</v>
      </c>
      <c r="J895" s="31">
        <v>0</v>
      </c>
      <c r="K895" s="33">
        <v>0</v>
      </c>
      <c r="L895" s="31">
        <v>0</v>
      </c>
      <c r="M895" s="31">
        <v>716.7</v>
      </c>
      <c r="N895" s="31">
        <v>3741391.06</v>
      </c>
      <c r="O895" s="31">
        <v>0</v>
      </c>
      <c r="P895" s="31">
        <v>0</v>
      </c>
      <c r="Q895" s="31">
        <v>0</v>
      </c>
      <c r="R895" s="31">
        <v>0</v>
      </c>
      <c r="S895" s="31">
        <v>0</v>
      </c>
      <c r="T895" s="31">
        <v>0</v>
      </c>
      <c r="U895" s="31">
        <v>0</v>
      </c>
      <c r="V895" s="31">
        <v>0</v>
      </c>
      <c r="W895" s="31">
        <v>0</v>
      </c>
      <c r="X895" s="31">
        <v>0</v>
      </c>
      <c r="Y895" s="31">
        <v>0</v>
      </c>
      <c r="Z895" s="31">
        <v>0</v>
      </c>
      <c r="AA895" s="31">
        <v>0</v>
      </c>
      <c r="AB895" s="31">
        <v>0</v>
      </c>
      <c r="AC895" s="31">
        <f>ROUND(N895*1.5%,2)</f>
        <v>56120.87</v>
      </c>
      <c r="AD895" s="31">
        <v>150000</v>
      </c>
      <c r="AE895" s="31">
        <v>0</v>
      </c>
      <c r="AF895" s="34">
        <v>2021</v>
      </c>
      <c r="AG895" s="34">
        <v>2021</v>
      </c>
      <c r="AH895" s="35">
        <v>2021</v>
      </c>
      <c r="AT895" s="20" t="e">
        <f t="shared" si="178"/>
        <v>#N/A</v>
      </c>
      <c r="BZ895" s="71"/>
      <c r="CD895" s="20" t="e">
        <f t="shared" si="172"/>
        <v>#N/A</v>
      </c>
    </row>
    <row r="896" spans="1:82" ht="61.5" x14ac:dyDescent="0.85">
      <c r="A896" s="20">
        <v>1</v>
      </c>
      <c r="B896" s="66">
        <f>SUBTOTAL(103,$A$554:A896)</f>
        <v>307</v>
      </c>
      <c r="C896" s="24" t="s">
        <v>1650</v>
      </c>
      <c r="D896" s="31">
        <f>E896+F896+G896+H896+I896+J896+L896+N896+P896+R896+T896+U896+V896+W896+X896+Y896+Z896+AA896+AB896+AC896+AD896+AE896</f>
        <v>3531563.4499999997</v>
      </c>
      <c r="E896" s="31">
        <v>0</v>
      </c>
      <c r="F896" s="31">
        <v>0</v>
      </c>
      <c r="G896" s="31">
        <v>0</v>
      </c>
      <c r="H896" s="31">
        <v>0</v>
      </c>
      <c r="I896" s="31">
        <v>0</v>
      </c>
      <c r="J896" s="31">
        <v>0</v>
      </c>
      <c r="K896" s="33">
        <v>0</v>
      </c>
      <c r="L896" s="31">
        <v>0</v>
      </c>
      <c r="M896" s="31">
        <v>611.9</v>
      </c>
      <c r="N896" s="31">
        <f>3000000+361146.26</f>
        <v>3361146.26</v>
      </c>
      <c r="O896" s="31">
        <v>0</v>
      </c>
      <c r="P896" s="31">
        <v>0</v>
      </c>
      <c r="Q896" s="31">
        <v>0</v>
      </c>
      <c r="R896" s="31">
        <v>0</v>
      </c>
      <c r="S896" s="31">
        <v>0</v>
      </c>
      <c r="T896" s="31">
        <v>0</v>
      </c>
      <c r="U896" s="31">
        <v>0</v>
      </c>
      <c r="V896" s="31">
        <v>0</v>
      </c>
      <c r="W896" s="31">
        <v>0</v>
      </c>
      <c r="X896" s="31">
        <v>0</v>
      </c>
      <c r="Y896" s="31">
        <v>0</v>
      </c>
      <c r="Z896" s="31">
        <v>0</v>
      </c>
      <c r="AA896" s="31">
        <v>0</v>
      </c>
      <c r="AB896" s="31">
        <v>0</v>
      </c>
      <c r="AC896" s="31">
        <f>ROUND(N896*1.5%,2)</f>
        <v>50417.19</v>
      </c>
      <c r="AD896" s="31">
        <v>120000</v>
      </c>
      <c r="AE896" s="31">
        <v>0</v>
      </c>
      <c r="AF896" s="34">
        <v>2021</v>
      </c>
      <c r="AG896" s="34">
        <v>2021</v>
      </c>
      <c r="AH896" s="35">
        <v>2021</v>
      </c>
      <c r="BZ896" s="71"/>
      <c r="CD896" s="20" t="e">
        <f t="shared" si="172"/>
        <v>#N/A</v>
      </c>
    </row>
    <row r="897" spans="1:82" ht="61.5" x14ac:dyDescent="0.85">
      <c r="B897" s="24" t="s">
        <v>869</v>
      </c>
      <c r="C897" s="24"/>
      <c r="D897" s="31">
        <f t="shared" ref="D897:AE897" si="188">D898</f>
        <v>7408727.5099999998</v>
      </c>
      <c r="E897" s="31">
        <f t="shared" si="188"/>
        <v>0</v>
      </c>
      <c r="F897" s="31">
        <f t="shared" si="188"/>
        <v>0</v>
      </c>
      <c r="G897" s="31">
        <f t="shared" si="188"/>
        <v>0</v>
      </c>
      <c r="H897" s="31">
        <f t="shared" si="188"/>
        <v>0</v>
      </c>
      <c r="I897" s="31">
        <f t="shared" si="188"/>
        <v>0</v>
      </c>
      <c r="J897" s="31">
        <f t="shared" si="188"/>
        <v>0</v>
      </c>
      <c r="K897" s="33">
        <f t="shared" si="188"/>
        <v>0</v>
      </c>
      <c r="L897" s="31">
        <f t="shared" si="188"/>
        <v>0</v>
      </c>
      <c r="M897" s="31">
        <f t="shared" si="188"/>
        <v>1669.2</v>
      </c>
      <c r="N897" s="31">
        <f t="shared" si="188"/>
        <v>7121899.0199999996</v>
      </c>
      <c r="O897" s="31">
        <f t="shared" si="188"/>
        <v>0</v>
      </c>
      <c r="P897" s="31">
        <f t="shared" si="188"/>
        <v>0</v>
      </c>
      <c r="Q897" s="31">
        <f t="shared" si="188"/>
        <v>0</v>
      </c>
      <c r="R897" s="31">
        <f t="shared" si="188"/>
        <v>0</v>
      </c>
      <c r="S897" s="31">
        <f t="shared" si="188"/>
        <v>0</v>
      </c>
      <c r="T897" s="31">
        <f t="shared" si="188"/>
        <v>0</v>
      </c>
      <c r="U897" s="31">
        <f t="shared" si="188"/>
        <v>0</v>
      </c>
      <c r="V897" s="31">
        <f t="shared" si="188"/>
        <v>0</v>
      </c>
      <c r="W897" s="31">
        <f t="shared" si="188"/>
        <v>0</v>
      </c>
      <c r="X897" s="31">
        <f t="shared" si="188"/>
        <v>0</v>
      </c>
      <c r="Y897" s="31">
        <f t="shared" si="188"/>
        <v>0</v>
      </c>
      <c r="Z897" s="31">
        <f t="shared" si="188"/>
        <v>0</v>
      </c>
      <c r="AA897" s="31">
        <f t="shared" si="188"/>
        <v>0</v>
      </c>
      <c r="AB897" s="31">
        <f t="shared" si="188"/>
        <v>0</v>
      </c>
      <c r="AC897" s="31">
        <f t="shared" si="188"/>
        <v>106828.49</v>
      </c>
      <c r="AD897" s="31">
        <f t="shared" si="188"/>
        <v>180000</v>
      </c>
      <c r="AE897" s="31">
        <f t="shared" si="188"/>
        <v>0</v>
      </c>
      <c r="AF897" s="72" t="s">
        <v>776</v>
      </c>
      <c r="AG897" s="72" t="s">
        <v>776</v>
      </c>
      <c r="AH897" s="89" t="s">
        <v>776</v>
      </c>
      <c r="AT897" s="20" t="e">
        <f t="shared" ref="AT897:AT921" si="189">VLOOKUP(C897,AW:AX,2,FALSE)</f>
        <v>#N/A</v>
      </c>
      <c r="BZ897" s="71">
        <v>7408727.5099999998</v>
      </c>
      <c r="CD897" s="20" t="e">
        <f t="shared" si="172"/>
        <v>#N/A</v>
      </c>
    </row>
    <row r="898" spans="1:82" ht="61.5" x14ac:dyDescent="0.85">
      <c r="A898" s="20">
        <v>1</v>
      </c>
      <c r="B898" s="66">
        <f>SUBTOTAL(103,$A$554:A898)</f>
        <v>308</v>
      </c>
      <c r="C898" s="24" t="s">
        <v>54</v>
      </c>
      <c r="D898" s="31">
        <f>E898+F898+G898+H898+I898+J898+L898+N898+P898+R898+T898+U898+V898+W898+X898+Y898+Z898+AA898+AB898+AC898+AD898+AE898</f>
        <v>7408727.5099999998</v>
      </c>
      <c r="E898" s="31">
        <v>0</v>
      </c>
      <c r="F898" s="31">
        <v>0</v>
      </c>
      <c r="G898" s="31">
        <v>0</v>
      </c>
      <c r="H898" s="31">
        <v>0</v>
      </c>
      <c r="I898" s="31">
        <v>0</v>
      </c>
      <c r="J898" s="31">
        <v>0</v>
      </c>
      <c r="K898" s="33">
        <v>0</v>
      </c>
      <c r="L898" s="31">
        <v>0</v>
      </c>
      <c r="M898" s="31">
        <v>1669.2</v>
      </c>
      <c r="N898" s="31">
        <v>7121899.0199999996</v>
      </c>
      <c r="O898" s="31">
        <v>0</v>
      </c>
      <c r="P898" s="31">
        <v>0</v>
      </c>
      <c r="Q898" s="31">
        <v>0</v>
      </c>
      <c r="R898" s="31">
        <v>0</v>
      </c>
      <c r="S898" s="31">
        <v>0</v>
      </c>
      <c r="T898" s="31">
        <v>0</v>
      </c>
      <c r="U898" s="31">
        <v>0</v>
      </c>
      <c r="V898" s="31">
        <v>0</v>
      </c>
      <c r="W898" s="31">
        <v>0</v>
      </c>
      <c r="X898" s="31">
        <v>0</v>
      </c>
      <c r="Y898" s="31">
        <v>0</v>
      </c>
      <c r="Z898" s="31">
        <v>0</v>
      </c>
      <c r="AA898" s="31">
        <v>0</v>
      </c>
      <c r="AB898" s="31">
        <v>0</v>
      </c>
      <c r="AC898" s="31">
        <f>ROUND(N898*1.5%,2)</f>
        <v>106828.49</v>
      </c>
      <c r="AD898" s="31">
        <v>180000</v>
      </c>
      <c r="AE898" s="31">
        <v>0</v>
      </c>
      <c r="AF898" s="34">
        <v>2021</v>
      </c>
      <c r="AG898" s="34">
        <v>2021</v>
      </c>
      <c r="AH898" s="35">
        <v>2021</v>
      </c>
      <c r="AT898" s="20" t="e">
        <f t="shared" si="189"/>
        <v>#N/A</v>
      </c>
      <c r="BZ898" s="71"/>
      <c r="CD898" s="20" t="e">
        <f t="shared" si="172"/>
        <v>#N/A</v>
      </c>
    </row>
    <row r="899" spans="1:82" ht="61.5" x14ac:dyDescent="0.85">
      <c r="B899" s="24" t="s">
        <v>870</v>
      </c>
      <c r="C899" s="24"/>
      <c r="D899" s="31">
        <f t="shared" ref="D899:AE899" si="190">D900</f>
        <v>2311215.4500000002</v>
      </c>
      <c r="E899" s="31">
        <f t="shared" si="190"/>
        <v>0</v>
      </c>
      <c r="F899" s="31">
        <f t="shared" si="190"/>
        <v>0</v>
      </c>
      <c r="G899" s="31">
        <f t="shared" si="190"/>
        <v>0</v>
      </c>
      <c r="H899" s="31">
        <f t="shared" si="190"/>
        <v>0</v>
      </c>
      <c r="I899" s="31">
        <f t="shared" si="190"/>
        <v>0</v>
      </c>
      <c r="J899" s="31">
        <f t="shared" si="190"/>
        <v>0</v>
      </c>
      <c r="K899" s="33">
        <f t="shared" si="190"/>
        <v>0</v>
      </c>
      <c r="L899" s="31">
        <f t="shared" si="190"/>
        <v>0</v>
      </c>
      <c r="M899" s="31">
        <f t="shared" si="190"/>
        <v>444</v>
      </c>
      <c r="N899" s="31">
        <f t="shared" si="190"/>
        <v>2158832.96</v>
      </c>
      <c r="O899" s="31">
        <f t="shared" si="190"/>
        <v>0</v>
      </c>
      <c r="P899" s="31">
        <f t="shared" si="190"/>
        <v>0</v>
      </c>
      <c r="Q899" s="31">
        <f t="shared" si="190"/>
        <v>0</v>
      </c>
      <c r="R899" s="31">
        <f t="shared" si="190"/>
        <v>0</v>
      </c>
      <c r="S899" s="31">
        <f t="shared" si="190"/>
        <v>0</v>
      </c>
      <c r="T899" s="31">
        <f t="shared" si="190"/>
        <v>0</v>
      </c>
      <c r="U899" s="31">
        <f t="shared" si="190"/>
        <v>0</v>
      </c>
      <c r="V899" s="31">
        <f t="shared" si="190"/>
        <v>0</v>
      </c>
      <c r="W899" s="31">
        <f t="shared" si="190"/>
        <v>0</v>
      </c>
      <c r="X899" s="31">
        <f t="shared" si="190"/>
        <v>0</v>
      </c>
      <c r="Y899" s="31">
        <f t="shared" si="190"/>
        <v>0</v>
      </c>
      <c r="Z899" s="31">
        <f t="shared" si="190"/>
        <v>0</v>
      </c>
      <c r="AA899" s="31">
        <f t="shared" si="190"/>
        <v>0</v>
      </c>
      <c r="AB899" s="31">
        <f t="shared" si="190"/>
        <v>0</v>
      </c>
      <c r="AC899" s="31">
        <f t="shared" si="190"/>
        <v>32382.49</v>
      </c>
      <c r="AD899" s="31">
        <f t="shared" si="190"/>
        <v>120000</v>
      </c>
      <c r="AE899" s="31">
        <f t="shared" si="190"/>
        <v>0</v>
      </c>
      <c r="AF899" s="72" t="s">
        <v>776</v>
      </c>
      <c r="AG899" s="72" t="s">
        <v>776</v>
      </c>
      <c r="AH899" s="89" t="s">
        <v>776</v>
      </c>
      <c r="AT899" s="20" t="e">
        <f t="shared" si="189"/>
        <v>#N/A</v>
      </c>
      <c r="BZ899" s="71">
        <v>2311215.4500000002</v>
      </c>
      <c r="CD899" s="20" t="e">
        <f t="shared" si="172"/>
        <v>#N/A</v>
      </c>
    </row>
    <row r="900" spans="1:82" ht="61.5" x14ac:dyDescent="0.85">
      <c r="A900" s="20">
        <v>1</v>
      </c>
      <c r="B900" s="66">
        <f>SUBTOTAL(103,$A$554:A900)</f>
        <v>309</v>
      </c>
      <c r="C900" s="24" t="s">
        <v>53</v>
      </c>
      <c r="D900" s="31">
        <f>E900+F900+G900+H900+I900+J900+L900+N900+P900+R900+T900+U900+V900+W900+X900+Y900+Z900+AA900+AB900+AC900+AD900+AE900</f>
        <v>2311215.4500000002</v>
      </c>
      <c r="E900" s="31">
        <v>0</v>
      </c>
      <c r="F900" s="31">
        <v>0</v>
      </c>
      <c r="G900" s="31">
        <v>0</v>
      </c>
      <c r="H900" s="31">
        <v>0</v>
      </c>
      <c r="I900" s="31">
        <v>0</v>
      </c>
      <c r="J900" s="31">
        <v>0</v>
      </c>
      <c r="K900" s="33">
        <v>0</v>
      </c>
      <c r="L900" s="31">
        <v>0</v>
      </c>
      <c r="M900" s="31">
        <v>444</v>
      </c>
      <c r="N900" s="31">
        <v>2158832.96</v>
      </c>
      <c r="O900" s="31">
        <v>0</v>
      </c>
      <c r="P900" s="31">
        <v>0</v>
      </c>
      <c r="Q900" s="31">
        <v>0</v>
      </c>
      <c r="R900" s="31">
        <v>0</v>
      </c>
      <c r="S900" s="31">
        <v>0</v>
      </c>
      <c r="T900" s="31">
        <v>0</v>
      </c>
      <c r="U900" s="31">
        <v>0</v>
      </c>
      <c r="V900" s="31">
        <v>0</v>
      </c>
      <c r="W900" s="31">
        <v>0</v>
      </c>
      <c r="X900" s="31">
        <v>0</v>
      </c>
      <c r="Y900" s="31">
        <v>0</v>
      </c>
      <c r="Z900" s="31">
        <v>0</v>
      </c>
      <c r="AA900" s="31">
        <v>0</v>
      </c>
      <c r="AB900" s="31">
        <v>0</v>
      </c>
      <c r="AC900" s="31">
        <f>ROUND(N900*1.5%,2)</f>
        <v>32382.49</v>
      </c>
      <c r="AD900" s="31">
        <v>120000</v>
      </c>
      <c r="AE900" s="31">
        <v>0</v>
      </c>
      <c r="AF900" s="34">
        <v>2021</v>
      </c>
      <c r="AG900" s="34">
        <v>2021</v>
      </c>
      <c r="AH900" s="35">
        <v>2021</v>
      </c>
      <c r="AT900" s="20" t="e">
        <f t="shared" si="189"/>
        <v>#N/A</v>
      </c>
      <c r="BZ900" s="71"/>
      <c r="CD900" s="20" t="e">
        <f t="shared" si="172"/>
        <v>#N/A</v>
      </c>
    </row>
    <row r="901" spans="1:82" ht="61.5" x14ac:dyDescent="0.85">
      <c r="B901" s="24" t="s">
        <v>871</v>
      </c>
      <c r="C901" s="24"/>
      <c r="D901" s="31">
        <f t="shared" ref="D901:AE901" si="191">SUM(D902:D906)</f>
        <v>16487311.32</v>
      </c>
      <c r="E901" s="31">
        <f t="shared" si="191"/>
        <v>0</v>
      </c>
      <c r="F901" s="31">
        <f t="shared" si="191"/>
        <v>0</v>
      </c>
      <c r="G901" s="31">
        <f t="shared" si="191"/>
        <v>0</v>
      </c>
      <c r="H901" s="31">
        <f t="shared" si="191"/>
        <v>0</v>
      </c>
      <c r="I901" s="31">
        <f t="shared" si="191"/>
        <v>0</v>
      </c>
      <c r="J901" s="31">
        <f t="shared" si="191"/>
        <v>0</v>
      </c>
      <c r="K901" s="33">
        <f t="shared" si="191"/>
        <v>0</v>
      </c>
      <c r="L901" s="31">
        <f t="shared" si="191"/>
        <v>0</v>
      </c>
      <c r="M901" s="31">
        <f t="shared" si="191"/>
        <v>3157.3999999999996</v>
      </c>
      <c r="N901" s="31">
        <f t="shared" si="191"/>
        <v>15504740.23</v>
      </c>
      <c r="O901" s="31">
        <f t="shared" si="191"/>
        <v>0</v>
      </c>
      <c r="P901" s="31">
        <f t="shared" si="191"/>
        <v>0</v>
      </c>
      <c r="Q901" s="31">
        <f t="shared" si="191"/>
        <v>0</v>
      </c>
      <c r="R901" s="31">
        <f t="shared" si="191"/>
        <v>0</v>
      </c>
      <c r="S901" s="31">
        <f t="shared" si="191"/>
        <v>0</v>
      </c>
      <c r="T901" s="31">
        <f t="shared" si="191"/>
        <v>0</v>
      </c>
      <c r="U901" s="31">
        <f t="shared" si="191"/>
        <v>0</v>
      </c>
      <c r="V901" s="31">
        <f t="shared" si="191"/>
        <v>0</v>
      </c>
      <c r="W901" s="31">
        <f t="shared" si="191"/>
        <v>0</v>
      </c>
      <c r="X901" s="31">
        <f t="shared" si="191"/>
        <v>0</v>
      </c>
      <c r="Y901" s="31">
        <f t="shared" si="191"/>
        <v>0</v>
      </c>
      <c r="Z901" s="31">
        <f t="shared" si="191"/>
        <v>0</v>
      </c>
      <c r="AA901" s="31">
        <f t="shared" si="191"/>
        <v>0</v>
      </c>
      <c r="AB901" s="31">
        <f t="shared" si="191"/>
        <v>0</v>
      </c>
      <c r="AC901" s="31">
        <f t="shared" si="191"/>
        <v>232571.09000000003</v>
      </c>
      <c r="AD901" s="31">
        <f t="shared" si="191"/>
        <v>750000</v>
      </c>
      <c r="AE901" s="31">
        <f t="shared" si="191"/>
        <v>0</v>
      </c>
      <c r="AF901" s="72" t="s">
        <v>776</v>
      </c>
      <c r="AG901" s="72" t="s">
        <v>776</v>
      </c>
      <c r="AH901" s="89" t="s">
        <v>776</v>
      </c>
      <c r="AT901" s="20" t="e">
        <f t="shared" si="189"/>
        <v>#N/A</v>
      </c>
      <c r="BZ901" s="71">
        <v>16487311.32</v>
      </c>
      <c r="CD901" s="20" t="e">
        <f t="shared" si="172"/>
        <v>#N/A</v>
      </c>
    </row>
    <row r="902" spans="1:82" ht="61.5" x14ac:dyDescent="0.85">
      <c r="A902" s="20">
        <v>1</v>
      </c>
      <c r="B902" s="66">
        <f>SUBTOTAL(103,$A$554:A902)</f>
        <v>310</v>
      </c>
      <c r="C902" s="24" t="s">
        <v>60</v>
      </c>
      <c r="D902" s="31">
        <f>E902+F902+G902+H902+I902+J902+L902+N902+P902+R902+T902+U902+V902+W902+X902+Y902+Z902+AA902+AB902+AC902+AD902+AE902</f>
        <v>3462053.4</v>
      </c>
      <c r="E902" s="31">
        <v>0</v>
      </c>
      <c r="F902" s="31">
        <v>0</v>
      </c>
      <c r="G902" s="31">
        <v>0</v>
      </c>
      <c r="H902" s="31">
        <v>0</v>
      </c>
      <c r="I902" s="31">
        <v>0</v>
      </c>
      <c r="J902" s="31">
        <v>0</v>
      </c>
      <c r="K902" s="33">
        <v>0</v>
      </c>
      <c r="L902" s="31">
        <v>0</v>
      </c>
      <c r="M902" s="31">
        <v>663</v>
      </c>
      <c r="N902" s="31">
        <v>3263106.8</v>
      </c>
      <c r="O902" s="31">
        <v>0</v>
      </c>
      <c r="P902" s="31">
        <v>0</v>
      </c>
      <c r="Q902" s="31">
        <v>0</v>
      </c>
      <c r="R902" s="31">
        <v>0</v>
      </c>
      <c r="S902" s="31">
        <v>0</v>
      </c>
      <c r="T902" s="31">
        <v>0</v>
      </c>
      <c r="U902" s="31">
        <v>0</v>
      </c>
      <c r="V902" s="31">
        <v>0</v>
      </c>
      <c r="W902" s="31">
        <v>0</v>
      </c>
      <c r="X902" s="31">
        <v>0</v>
      </c>
      <c r="Y902" s="31">
        <v>0</v>
      </c>
      <c r="Z902" s="31">
        <v>0</v>
      </c>
      <c r="AA902" s="31">
        <v>0</v>
      </c>
      <c r="AB902" s="31">
        <v>0</v>
      </c>
      <c r="AC902" s="31">
        <f>ROUND(N902*1.5%,2)</f>
        <v>48946.6</v>
      </c>
      <c r="AD902" s="31">
        <v>150000</v>
      </c>
      <c r="AE902" s="31">
        <v>0</v>
      </c>
      <c r="AF902" s="34">
        <v>2021</v>
      </c>
      <c r="AG902" s="34">
        <v>2021</v>
      </c>
      <c r="AH902" s="35">
        <v>2021</v>
      </c>
      <c r="AT902" s="20" t="e">
        <f t="shared" si="189"/>
        <v>#N/A</v>
      </c>
      <c r="BZ902" s="71"/>
      <c r="CD902" s="20" t="e">
        <f t="shared" si="172"/>
        <v>#N/A</v>
      </c>
    </row>
    <row r="903" spans="1:82" ht="61.5" x14ac:dyDescent="0.85">
      <c r="A903" s="20">
        <v>1</v>
      </c>
      <c r="B903" s="66">
        <f>SUBTOTAL(103,$A$554:A903)</f>
        <v>311</v>
      </c>
      <c r="C903" s="24" t="s">
        <v>61</v>
      </c>
      <c r="D903" s="31">
        <f>E903+F903+G903+H903+I903+J903+L903+N903+P903+R903+T903+U903+V903+W903+X903+Y903+Z903+AA903+AB903+AC903+AD903+AE903</f>
        <v>3446388</v>
      </c>
      <c r="E903" s="31">
        <v>0</v>
      </c>
      <c r="F903" s="31">
        <v>0</v>
      </c>
      <c r="G903" s="31">
        <v>0</v>
      </c>
      <c r="H903" s="31">
        <v>0</v>
      </c>
      <c r="I903" s="31">
        <v>0</v>
      </c>
      <c r="J903" s="31">
        <v>0</v>
      </c>
      <c r="K903" s="33">
        <v>0</v>
      </c>
      <c r="L903" s="31">
        <v>0</v>
      </c>
      <c r="M903" s="31">
        <v>660</v>
      </c>
      <c r="N903" s="31">
        <v>3247672.91</v>
      </c>
      <c r="O903" s="31">
        <v>0</v>
      </c>
      <c r="P903" s="31">
        <v>0</v>
      </c>
      <c r="Q903" s="31">
        <v>0</v>
      </c>
      <c r="R903" s="31">
        <v>0</v>
      </c>
      <c r="S903" s="31">
        <v>0</v>
      </c>
      <c r="T903" s="31">
        <v>0</v>
      </c>
      <c r="U903" s="31">
        <v>0</v>
      </c>
      <c r="V903" s="31">
        <v>0</v>
      </c>
      <c r="W903" s="31">
        <v>0</v>
      </c>
      <c r="X903" s="31">
        <v>0</v>
      </c>
      <c r="Y903" s="31">
        <v>0</v>
      </c>
      <c r="Z903" s="31">
        <v>0</v>
      </c>
      <c r="AA903" s="31">
        <v>0</v>
      </c>
      <c r="AB903" s="31">
        <v>0</v>
      </c>
      <c r="AC903" s="31">
        <f>ROUND(N903*1.5%,2)</f>
        <v>48715.09</v>
      </c>
      <c r="AD903" s="31">
        <v>150000</v>
      </c>
      <c r="AE903" s="31">
        <v>0</v>
      </c>
      <c r="AF903" s="34">
        <v>2021</v>
      </c>
      <c r="AG903" s="34">
        <v>2021</v>
      </c>
      <c r="AH903" s="35">
        <v>2021</v>
      </c>
      <c r="AT903" s="20" t="e">
        <f t="shared" si="189"/>
        <v>#N/A</v>
      </c>
      <c r="BZ903" s="71"/>
      <c r="CD903" s="20" t="e">
        <f t="shared" si="172"/>
        <v>#N/A</v>
      </c>
    </row>
    <row r="904" spans="1:82" ht="61.5" x14ac:dyDescent="0.85">
      <c r="A904" s="20">
        <v>1</v>
      </c>
      <c r="B904" s="66">
        <f>SUBTOTAL(103,$A$554:A904)</f>
        <v>312</v>
      </c>
      <c r="C904" s="24" t="s">
        <v>59</v>
      </c>
      <c r="D904" s="31">
        <f>E904+F904+G904+H904+I904+J904+L904+N904+P904+R904+T904+U904+V904+W904+X904+Y904+Z904+AA904+AB904+AC904+AD904+AE904</f>
        <v>3378504.6</v>
      </c>
      <c r="E904" s="31">
        <v>0</v>
      </c>
      <c r="F904" s="31">
        <v>0</v>
      </c>
      <c r="G904" s="31">
        <v>0</v>
      </c>
      <c r="H904" s="31">
        <v>0</v>
      </c>
      <c r="I904" s="31">
        <v>0</v>
      </c>
      <c r="J904" s="31">
        <v>0</v>
      </c>
      <c r="K904" s="33">
        <v>0</v>
      </c>
      <c r="L904" s="31">
        <v>0</v>
      </c>
      <c r="M904" s="31">
        <v>647</v>
      </c>
      <c r="N904" s="31">
        <v>3180792.71</v>
      </c>
      <c r="O904" s="31">
        <v>0</v>
      </c>
      <c r="P904" s="31">
        <v>0</v>
      </c>
      <c r="Q904" s="31">
        <v>0</v>
      </c>
      <c r="R904" s="31">
        <v>0</v>
      </c>
      <c r="S904" s="31">
        <v>0</v>
      </c>
      <c r="T904" s="31">
        <v>0</v>
      </c>
      <c r="U904" s="31">
        <v>0</v>
      </c>
      <c r="V904" s="31">
        <v>0</v>
      </c>
      <c r="W904" s="31">
        <v>0</v>
      </c>
      <c r="X904" s="31">
        <v>0</v>
      </c>
      <c r="Y904" s="31">
        <v>0</v>
      </c>
      <c r="Z904" s="31">
        <v>0</v>
      </c>
      <c r="AA904" s="31">
        <v>0</v>
      </c>
      <c r="AB904" s="31">
        <v>0</v>
      </c>
      <c r="AC904" s="31">
        <f>ROUND(N904*1.5%,2)</f>
        <v>47711.89</v>
      </c>
      <c r="AD904" s="31">
        <v>150000</v>
      </c>
      <c r="AE904" s="31">
        <v>0</v>
      </c>
      <c r="AF904" s="34">
        <v>2021</v>
      </c>
      <c r="AG904" s="34">
        <v>2021</v>
      </c>
      <c r="AH904" s="35">
        <v>2021</v>
      </c>
      <c r="AT904" s="20" t="e">
        <f t="shared" si="189"/>
        <v>#N/A</v>
      </c>
      <c r="BZ904" s="71"/>
      <c r="CD904" s="20" t="e">
        <f t="shared" si="172"/>
        <v>#N/A</v>
      </c>
    </row>
    <row r="905" spans="1:82" ht="61.5" x14ac:dyDescent="0.85">
      <c r="A905" s="20">
        <v>1</v>
      </c>
      <c r="B905" s="66">
        <f>SUBTOTAL(103,$A$554:A905)</f>
        <v>313</v>
      </c>
      <c r="C905" s="24" t="s">
        <v>62</v>
      </c>
      <c r="D905" s="31">
        <f>E905+F905+G905+H905+I905+J905+L905+N905+P905+R905+T905+U905+V905+W905+X905+Y905+Z905+AA905+AB905+AC905+AD905+AE905</f>
        <v>2799929.1599999997</v>
      </c>
      <c r="E905" s="31">
        <v>0</v>
      </c>
      <c r="F905" s="31">
        <v>0</v>
      </c>
      <c r="G905" s="31">
        <v>0</v>
      </c>
      <c r="H905" s="31">
        <v>0</v>
      </c>
      <c r="I905" s="31">
        <v>0</v>
      </c>
      <c r="J905" s="31">
        <v>0</v>
      </c>
      <c r="K905" s="33">
        <v>0</v>
      </c>
      <c r="L905" s="31">
        <v>0</v>
      </c>
      <c r="M905" s="31">
        <v>536.20000000000005</v>
      </c>
      <c r="N905" s="31">
        <v>2610767.65</v>
      </c>
      <c r="O905" s="31">
        <v>0</v>
      </c>
      <c r="P905" s="31">
        <v>0</v>
      </c>
      <c r="Q905" s="31">
        <v>0</v>
      </c>
      <c r="R905" s="31">
        <v>0</v>
      </c>
      <c r="S905" s="31">
        <v>0</v>
      </c>
      <c r="T905" s="31">
        <v>0</v>
      </c>
      <c r="U905" s="31">
        <v>0</v>
      </c>
      <c r="V905" s="31">
        <v>0</v>
      </c>
      <c r="W905" s="31">
        <v>0</v>
      </c>
      <c r="X905" s="31">
        <v>0</v>
      </c>
      <c r="Y905" s="31">
        <v>0</v>
      </c>
      <c r="Z905" s="31">
        <v>0</v>
      </c>
      <c r="AA905" s="31">
        <v>0</v>
      </c>
      <c r="AB905" s="31">
        <v>0</v>
      </c>
      <c r="AC905" s="31">
        <f>ROUND(N905*1.5%,2)</f>
        <v>39161.51</v>
      </c>
      <c r="AD905" s="31">
        <v>150000</v>
      </c>
      <c r="AE905" s="31">
        <v>0</v>
      </c>
      <c r="AF905" s="34">
        <v>2021</v>
      </c>
      <c r="AG905" s="34">
        <v>2021</v>
      </c>
      <c r="AH905" s="35">
        <v>2021</v>
      </c>
      <c r="AT905" s="20" t="e">
        <f t="shared" si="189"/>
        <v>#N/A</v>
      </c>
      <c r="BZ905" s="71"/>
      <c r="CD905" s="20" t="e">
        <f t="shared" si="172"/>
        <v>#N/A</v>
      </c>
    </row>
    <row r="906" spans="1:82" ht="61.5" x14ac:dyDescent="0.85">
      <c r="A906" s="20">
        <v>1</v>
      </c>
      <c r="B906" s="66">
        <f>SUBTOTAL(103,$A$554:A906)</f>
        <v>314</v>
      </c>
      <c r="C906" s="24" t="s">
        <v>58</v>
      </c>
      <c r="D906" s="31">
        <f>E906+F906+G906+H906+I906+J906+L906+N906+P906+R906+T906+U906+V906+W906+X906+Y906+Z906+AA906+AB906+AC906+AD906+AE906</f>
        <v>3400436.16</v>
      </c>
      <c r="E906" s="31">
        <v>0</v>
      </c>
      <c r="F906" s="31">
        <v>0</v>
      </c>
      <c r="G906" s="31">
        <v>0</v>
      </c>
      <c r="H906" s="31">
        <v>0</v>
      </c>
      <c r="I906" s="31">
        <v>0</v>
      </c>
      <c r="J906" s="31">
        <v>0</v>
      </c>
      <c r="K906" s="33">
        <v>0</v>
      </c>
      <c r="L906" s="31">
        <v>0</v>
      </c>
      <c r="M906" s="31">
        <v>651.20000000000005</v>
      </c>
      <c r="N906" s="31">
        <v>3202400.16</v>
      </c>
      <c r="O906" s="31">
        <v>0</v>
      </c>
      <c r="P906" s="31">
        <v>0</v>
      </c>
      <c r="Q906" s="31">
        <v>0</v>
      </c>
      <c r="R906" s="31">
        <v>0</v>
      </c>
      <c r="S906" s="31">
        <v>0</v>
      </c>
      <c r="T906" s="31">
        <v>0</v>
      </c>
      <c r="U906" s="31">
        <v>0</v>
      </c>
      <c r="V906" s="31">
        <v>0</v>
      </c>
      <c r="W906" s="31">
        <v>0</v>
      </c>
      <c r="X906" s="31">
        <v>0</v>
      </c>
      <c r="Y906" s="31">
        <v>0</v>
      </c>
      <c r="Z906" s="31">
        <v>0</v>
      </c>
      <c r="AA906" s="31">
        <v>0</v>
      </c>
      <c r="AB906" s="31">
        <v>0</v>
      </c>
      <c r="AC906" s="31">
        <f>ROUND(N906*1.5%,2)</f>
        <v>48036</v>
      </c>
      <c r="AD906" s="31">
        <v>150000</v>
      </c>
      <c r="AE906" s="31">
        <v>0</v>
      </c>
      <c r="AF906" s="34">
        <v>2021</v>
      </c>
      <c r="AG906" s="34">
        <v>2021</v>
      </c>
      <c r="AH906" s="35">
        <v>2021</v>
      </c>
      <c r="AT906" s="20" t="e">
        <f t="shared" si="189"/>
        <v>#N/A</v>
      </c>
      <c r="BZ906" s="71"/>
      <c r="CD906" s="20" t="e">
        <f t="shared" si="172"/>
        <v>#N/A</v>
      </c>
    </row>
    <row r="907" spans="1:82" ht="61.5" x14ac:dyDescent="0.85">
      <c r="B907" s="24" t="s">
        <v>872</v>
      </c>
      <c r="C907" s="166"/>
      <c r="D907" s="31">
        <f t="shared" ref="D907:AE907" si="192">D908+D909</f>
        <v>6032850.6600000001</v>
      </c>
      <c r="E907" s="31">
        <f t="shared" si="192"/>
        <v>0</v>
      </c>
      <c r="F907" s="31">
        <f t="shared" si="192"/>
        <v>0</v>
      </c>
      <c r="G907" s="31">
        <f t="shared" si="192"/>
        <v>0</v>
      </c>
      <c r="H907" s="31">
        <f t="shared" si="192"/>
        <v>0</v>
      </c>
      <c r="I907" s="31">
        <f t="shared" si="192"/>
        <v>0</v>
      </c>
      <c r="J907" s="31">
        <f t="shared" si="192"/>
        <v>0</v>
      </c>
      <c r="K907" s="33">
        <f t="shared" si="192"/>
        <v>0</v>
      </c>
      <c r="L907" s="31">
        <f t="shared" si="192"/>
        <v>0</v>
      </c>
      <c r="M907" s="31">
        <f t="shared" si="192"/>
        <v>1203</v>
      </c>
      <c r="N907" s="31">
        <f t="shared" si="192"/>
        <v>5677685.3799999999</v>
      </c>
      <c r="O907" s="31">
        <f t="shared" si="192"/>
        <v>0</v>
      </c>
      <c r="P907" s="31">
        <f t="shared" si="192"/>
        <v>0</v>
      </c>
      <c r="Q907" s="31">
        <f t="shared" si="192"/>
        <v>0</v>
      </c>
      <c r="R907" s="31">
        <f t="shared" si="192"/>
        <v>0</v>
      </c>
      <c r="S907" s="31">
        <f t="shared" si="192"/>
        <v>0</v>
      </c>
      <c r="T907" s="31">
        <f t="shared" si="192"/>
        <v>0</v>
      </c>
      <c r="U907" s="31">
        <f t="shared" si="192"/>
        <v>0</v>
      </c>
      <c r="V907" s="31">
        <f t="shared" si="192"/>
        <v>0</v>
      </c>
      <c r="W907" s="31">
        <f t="shared" si="192"/>
        <v>0</v>
      </c>
      <c r="X907" s="31">
        <f t="shared" si="192"/>
        <v>0</v>
      </c>
      <c r="Y907" s="31">
        <f t="shared" si="192"/>
        <v>0</v>
      </c>
      <c r="Z907" s="31">
        <f t="shared" si="192"/>
        <v>0</v>
      </c>
      <c r="AA907" s="31">
        <f t="shared" si="192"/>
        <v>0</v>
      </c>
      <c r="AB907" s="31">
        <f t="shared" si="192"/>
        <v>0</v>
      </c>
      <c r="AC907" s="31">
        <f t="shared" si="192"/>
        <v>85165.28</v>
      </c>
      <c r="AD907" s="31">
        <f t="shared" si="192"/>
        <v>270000</v>
      </c>
      <c r="AE907" s="31">
        <f t="shared" si="192"/>
        <v>0</v>
      </c>
      <c r="AF907" s="72" t="s">
        <v>776</v>
      </c>
      <c r="AG907" s="72" t="s">
        <v>776</v>
      </c>
      <c r="AH907" s="89" t="s">
        <v>776</v>
      </c>
      <c r="AT907" s="20" t="e">
        <f t="shared" si="189"/>
        <v>#N/A</v>
      </c>
      <c r="BZ907" s="71">
        <v>6032850.6600000001</v>
      </c>
      <c r="CD907" s="20" t="e">
        <f t="shared" si="172"/>
        <v>#N/A</v>
      </c>
    </row>
    <row r="908" spans="1:82" ht="61.5" x14ac:dyDescent="0.85">
      <c r="A908" s="20">
        <v>1</v>
      </c>
      <c r="B908" s="66">
        <f>SUBTOTAL(103,$A$554:A908)</f>
        <v>315</v>
      </c>
      <c r="C908" s="24" t="s">
        <v>234</v>
      </c>
      <c r="D908" s="31">
        <f>E908+F908+G908+H908+I908+J908+L908+N908+P908+R908+T908+U908+V908+W908+X908+Y908+Z908+AA908+AB908+AC908+AD908+AE908</f>
        <v>4231329.66</v>
      </c>
      <c r="E908" s="31">
        <v>0</v>
      </c>
      <c r="F908" s="31">
        <v>0</v>
      </c>
      <c r="G908" s="31">
        <v>0</v>
      </c>
      <c r="H908" s="31">
        <v>0</v>
      </c>
      <c r="I908" s="31">
        <v>0</v>
      </c>
      <c r="J908" s="31">
        <v>0</v>
      </c>
      <c r="K908" s="33">
        <v>0</v>
      </c>
      <c r="L908" s="31">
        <v>0</v>
      </c>
      <c r="M908" s="31">
        <v>858</v>
      </c>
      <c r="N908" s="31">
        <v>4021014.44</v>
      </c>
      <c r="O908" s="31">
        <v>0</v>
      </c>
      <c r="P908" s="31">
        <v>0</v>
      </c>
      <c r="Q908" s="31">
        <v>0</v>
      </c>
      <c r="R908" s="31">
        <v>0</v>
      </c>
      <c r="S908" s="31">
        <v>0</v>
      </c>
      <c r="T908" s="31">
        <v>0</v>
      </c>
      <c r="U908" s="31">
        <v>0</v>
      </c>
      <c r="V908" s="31">
        <v>0</v>
      </c>
      <c r="W908" s="31">
        <v>0</v>
      </c>
      <c r="X908" s="31">
        <v>0</v>
      </c>
      <c r="Y908" s="31">
        <v>0</v>
      </c>
      <c r="Z908" s="31">
        <v>0</v>
      </c>
      <c r="AA908" s="31">
        <v>0</v>
      </c>
      <c r="AB908" s="31">
        <v>0</v>
      </c>
      <c r="AC908" s="31">
        <f>ROUND(N908*1.5%,2)</f>
        <v>60315.22</v>
      </c>
      <c r="AD908" s="31">
        <v>150000</v>
      </c>
      <c r="AE908" s="31">
        <v>0</v>
      </c>
      <c r="AF908" s="34">
        <v>2021</v>
      </c>
      <c r="AG908" s="34">
        <v>2021</v>
      </c>
      <c r="AH908" s="35">
        <v>2021</v>
      </c>
      <c r="AT908" s="20" t="e">
        <f t="shared" si="189"/>
        <v>#N/A</v>
      </c>
      <c r="BZ908" s="71"/>
      <c r="CD908" s="20" t="e">
        <f t="shared" si="172"/>
        <v>#N/A</v>
      </c>
    </row>
    <row r="909" spans="1:82" ht="61.5" x14ac:dyDescent="0.85">
      <c r="A909" s="20">
        <v>1</v>
      </c>
      <c r="B909" s="66">
        <f>SUBTOTAL(103,$A$554:A909)</f>
        <v>316</v>
      </c>
      <c r="C909" s="24" t="s">
        <v>233</v>
      </c>
      <c r="D909" s="31">
        <f>E909+F909+G909+H909+I909+J909+L909+N909+P909+R909+T909+U909+V909+W909+X909+Y909+Z909+AA909+AB909+AC909+AD909+AE909</f>
        <v>1801521</v>
      </c>
      <c r="E909" s="31">
        <v>0</v>
      </c>
      <c r="F909" s="31">
        <v>0</v>
      </c>
      <c r="G909" s="31">
        <v>0</v>
      </c>
      <c r="H909" s="31">
        <v>0</v>
      </c>
      <c r="I909" s="31">
        <v>0</v>
      </c>
      <c r="J909" s="31">
        <v>0</v>
      </c>
      <c r="K909" s="33">
        <v>0</v>
      </c>
      <c r="L909" s="31">
        <v>0</v>
      </c>
      <c r="M909" s="31">
        <v>345</v>
      </c>
      <c r="N909" s="31">
        <v>1656670.94</v>
      </c>
      <c r="O909" s="31">
        <v>0</v>
      </c>
      <c r="P909" s="31">
        <v>0</v>
      </c>
      <c r="Q909" s="31">
        <v>0</v>
      </c>
      <c r="R909" s="31">
        <v>0</v>
      </c>
      <c r="S909" s="31">
        <v>0</v>
      </c>
      <c r="T909" s="31">
        <v>0</v>
      </c>
      <c r="U909" s="31">
        <v>0</v>
      </c>
      <c r="V909" s="31">
        <v>0</v>
      </c>
      <c r="W909" s="31">
        <v>0</v>
      </c>
      <c r="X909" s="31">
        <v>0</v>
      </c>
      <c r="Y909" s="31">
        <v>0</v>
      </c>
      <c r="Z909" s="31">
        <v>0</v>
      </c>
      <c r="AA909" s="31">
        <v>0</v>
      </c>
      <c r="AB909" s="31">
        <v>0</v>
      </c>
      <c r="AC909" s="31">
        <f>ROUND(N909*1.5%,2)</f>
        <v>24850.06</v>
      </c>
      <c r="AD909" s="31">
        <v>120000</v>
      </c>
      <c r="AE909" s="31">
        <v>0</v>
      </c>
      <c r="AF909" s="34">
        <v>2021</v>
      </c>
      <c r="AG909" s="34">
        <v>2021</v>
      </c>
      <c r="AH909" s="35">
        <v>2021</v>
      </c>
      <c r="AT909" s="20" t="e">
        <f t="shared" si="189"/>
        <v>#N/A</v>
      </c>
      <c r="BZ909" s="71"/>
      <c r="CD909" s="20" t="e">
        <f t="shared" si="172"/>
        <v>#N/A</v>
      </c>
    </row>
    <row r="910" spans="1:82" ht="61.5" x14ac:dyDescent="0.85">
      <c r="B910" s="24" t="s">
        <v>874</v>
      </c>
      <c r="C910" s="166"/>
      <c r="D910" s="31">
        <f t="shared" ref="D910:AE910" si="193">D911</f>
        <v>1799918.22</v>
      </c>
      <c r="E910" s="31">
        <f t="shared" si="193"/>
        <v>0</v>
      </c>
      <c r="F910" s="31">
        <f t="shared" si="193"/>
        <v>0</v>
      </c>
      <c r="G910" s="31">
        <f t="shared" si="193"/>
        <v>0</v>
      </c>
      <c r="H910" s="31">
        <f t="shared" si="193"/>
        <v>0</v>
      </c>
      <c r="I910" s="31">
        <f t="shared" si="193"/>
        <v>367412.22</v>
      </c>
      <c r="J910" s="31">
        <f t="shared" si="193"/>
        <v>0</v>
      </c>
      <c r="K910" s="33">
        <f t="shared" si="193"/>
        <v>0</v>
      </c>
      <c r="L910" s="31">
        <f t="shared" si="193"/>
        <v>0</v>
      </c>
      <c r="M910" s="31">
        <f t="shared" si="193"/>
        <v>300</v>
      </c>
      <c r="N910" s="31">
        <f t="shared" si="193"/>
        <v>1287679.6200000001</v>
      </c>
      <c r="O910" s="31">
        <f t="shared" si="193"/>
        <v>0</v>
      </c>
      <c r="P910" s="31">
        <f t="shared" si="193"/>
        <v>0</v>
      </c>
      <c r="Q910" s="31">
        <f t="shared" si="193"/>
        <v>0</v>
      </c>
      <c r="R910" s="31">
        <f t="shared" si="193"/>
        <v>0</v>
      </c>
      <c r="S910" s="31">
        <f t="shared" si="193"/>
        <v>0</v>
      </c>
      <c r="T910" s="31">
        <f t="shared" si="193"/>
        <v>0</v>
      </c>
      <c r="U910" s="31">
        <f t="shared" si="193"/>
        <v>0</v>
      </c>
      <c r="V910" s="31">
        <f t="shared" si="193"/>
        <v>0</v>
      </c>
      <c r="W910" s="31">
        <f t="shared" si="193"/>
        <v>0</v>
      </c>
      <c r="X910" s="31">
        <f t="shared" si="193"/>
        <v>0</v>
      </c>
      <c r="Y910" s="31">
        <f t="shared" si="193"/>
        <v>0</v>
      </c>
      <c r="Z910" s="31">
        <f t="shared" si="193"/>
        <v>0</v>
      </c>
      <c r="AA910" s="31">
        <f t="shared" si="193"/>
        <v>0</v>
      </c>
      <c r="AB910" s="31">
        <f t="shared" si="193"/>
        <v>0</v>
      </c>
      <c r="AC910" s="31">
        <f t="shared" si="193"/>
        <v>24826.38</v>
      </c>
      <c r="AD910" s="31">
        <f t="shared" si="193"/>
        <v>120000</v>
      </c>
      <c r="AE910" s="31">
        <f t="shared" si="193"/>
        <v>0</v>
      </c>
      <c r="AF910" s="72" t="s">
        <v>776</v>
      </c>
      <c r="AG910" s="72" t="s">
        <v>776</v>
      </c>
      <c r="AH910" s="89" t="s">
        <v>776</v>
      </c>
      <c r="AT910" s="20" t="e">
        <f t="shared" si="189"/>
        <v>#N/A</v>
      </c>
      <c r="BZ910" s="71">
        <v>1799918.22</v>
      </c>
      <c r="CD910" s="20" t="e">
        <f t="shared" si="172"/>
        <v>#N/A</v>
      </c>
    </row>
    <row r="911" spans="1:82" ht="61.5" x14ac:dyDescent="0.85">
      <c r="A911" s="20">
        <v>1</v>
      </c>
      <c r="B911" s="66">
        <f>SUBTOTAL(103,$A$554:A911)</f>
        <v>317</v>
      </c>
      <c r="C911" s="24" t="s">
        <v>151</v>
      </c>
      <c r="D911" s="31">
        <f>E911+F911+G911+H911+I911+J911+L911+N911+P911+R911+T911+U911+V911+W911+X911+Y911+Z911+AA911+AB911+AC911+AD911+AE911</f>
        <v>1799918.22</v>
      </c>
      <c r="E911" s="31">
        <v>0</v>
      </c>
      <c r="F911" s="31">
        <v>0</v>
      </c>
      <c r="G911" s="31">
        <v>0</v>
      </c>
      <c r="H911" s="31">
        <v>0</v>
      </c>
      <c r="I911" s="31">
        <v>367412.22</v>
      </c>
      <c r="J911" s="31">
        <v>0</v>
      </c>
      <c r="K911" s="33">
        <v>0</v>
      </c>
      <c r="L911" s="31">
        <v>0</v>
      </c>
      <c r="M911" s="31">
        <v>300</v>
      </c>
      <c r="N911" s="31">
        <v>1287679.6200000001</v>
      </c>
      <c r="O911" s="31">
        <v>0</v>
      </c>
      <c r="P911" s="31">
        <v>0</v>
      </c>
      <c r="Q911" s="31">
        <v>0</v>
      </c>
      <c r="R911" s="31">
        <v>0</v>
      </c>
      <c r="S911" s="31">
        <v>0</v>
      </c>
      <c r="T911" s="31">
        <v>0</v>
      </c>
      <c r="U911" s="31">
        <v>0</v>
      </c>
      <c r="V911" s="31">
        <v>0</v>
      </c>
      <c r="W911" s="31">
        <v>0</v>
      </c>
      <c r="X911" s="31">
        <v>0</v>
      </c>
      <c r="Y911" s="31">
        <v>0</v>
      </c>
      <c r="Z911" s="31">
        <v>0</v>
      </c>
      <c r="AA911" s="31">
        <v>0</v>
      </c>
      <c r="AB911" s="31">
        <v>0</v>
      </c>
      <c r="AC911" s="31">
        <f>ROUND((N911+I911)*1.5%,2)</f>
        <v>24826.38</v>
      </c>
      <c r="AD911" s="31">
        <v>120000</v>
      </c>
      <c r="AE911" s="31">
        <v>0</v>
      </c>
      <c r="AF911" s="34">
        <v>2021</v>
      </c>
      <c r="AG911" s="34">
        <v>2021</v>
      </c>
      <c r="AH911" s="35">
        <v>2021</v>
      </c>
      <c r="AT911" s="20" t="e">
        <f t="shared" si="189"/>
        <v>#N/A</v>
      </c>
      <c r="BZ911" s="71"/>
      <c r="CD911" s="20" t="e">
        <f t="shared" si="172"/>
        <v>#N/A</v>
      </c>
    </row>
    <row r="912" spans="1:82" ht="61.5" x14ac:dyDescent="0.85">
      <c r="B912" s="24" t="s">
        <v>902</v>
      </c>
      <c r="C912" s="24"/>
      <c r="D912" s="31">
        <f t="shared" ref="D912:AE912" si="194">D913</f>
        <v>3974620.0799999996</v>
      </c>
      <c r="E912" s="31">
        <f t="shared" si="194"/>
        <v>0</v>
      </c>
      <c r="F912" s="31">
        <f t="shared" si="194"/>
        <v>0</v>
      </c>
      <c r="G912" s="31">
        <f t="shared" si="194"/>
        <v>0</v>
      </c>
      <c r="H912" s="31">
        <f t="shared" si="194"/>
        <v>0</v>
      </c>
      <c r="I912" s="31">
        <f t="shared" si="194"/>
        <v>0</v>
      </c>
      <c r="J912" s="31">
        <f t="shared" si="194"/>
        <v>0</v>
      </c>
      <c r="K912" s="33">
        <f t="shared" si="194"/>
        <v>0</v>
      </c>
      <c r="L912" s="31">
        <f t="shared" si="194"/>
        <v>0</v>
      </c>
      <c r="M912" s="31">
        <f t="shared" si="194"/>
        <v>660.00388180300001</v>
      </c>
      <c r="N912" s="31">
        <f t="shared" si="194"/>
        <v>3768098.5999999996</v>
      </c>
      <c r="O912" s="31">
        <f t="shared" si="194"/>
        <v>0</v>
      </c>
      <c r="P912" s="31">
        <f t="shared" si="194"/>
        <v>0</v>
      </c>
      <c r="Q912" s="31">
        <f t="shared" si="194"/>
        <v>0</v>
      </c>
      <c r="R912" s="31">
        <f t="shared" si="194"/>
        <v>0</v>
      </c>
      <c r="S912" s="31">
        <f t="shared" si="194"/>
        <v>0</v>
      </c>
      <c r="T912" s="31">
        <f t="shared" si="194"/>
        <v>0</v>
      </c>
      <c r="U912" s="31">
        <f t="shared" si="194"/>
        <v>0</v>
      </c>
      <c r="V912" s="31">
        <f t="shared" si="194"/>
        <v>0</v>
      </c>
      <c r="W912" s="31">
        <f t="shared" si="194"/>
        <v>0</v>
      </c>
      <c r="X912" s="31">
        <f t="shared" si="194"/>
        <v>0</v>
      </c>
      <c r="Y912" s="31">
        <f t="shared" si="194"/>
        <v>0</v>
      </c>
      <c r="Z912" s="31">
        <f t="shared" si="194"/>
        <v>0</v>
      </c>
      <c r="AA912" s="31">
        <f t="shared" si="194"/>
        <v>0</v>
      </c>
      <c r="AB912" s="31">
        <f t="shared" si="194"/>
        <v>0</v>
      </c>
      <c r="AC912" s="31">
        <f t="shared" si="194"/>
        <v>56521.48</v>
      </c>
      <c r="AD912" s="31">
        <f t="shared" si="194"/>
        <v>150000</v>
      </c>
      <c r="AE912" s="31">
        <f t="shared" si="194"/>
        <v>0</v>
      </c>
      <c r="AF912" s="72" t="s">
        <v>776</v>
      </c>
      <c r="AG912" s="72" t="s">
        <v>776</v>
      </c>
      <c r="AH912" s="89" t="s">
        <v>776</v>
      </c>
      <c r="AT912" s="20" t="e">
        <f t="shared" si="189"/>
        <v>#N/A</v>
      </c>
      <c r="BZ912" s="71">
        <v>3974620.0799999996</v>
      </c>
      <c r="CD912" s="20" t="e">
        <f t="shared" si="172"/>
        <v>#N/A</v>
      </c>
    </row>
    <row r="913" spans="1:82" ht="61.5" x14ac:dyDescent="0.85">
      <c r="A913" s="20">
        <v>1</v>
      </c>
      <c r="B913" s="66">
        <f>SUBTOTAL(103,$A$554:A913)</f>
        <v>318</v>
      </c>
      <c r="C913" s="24" t="s">
        <v>152</v>
      </c>
      <c r="D913" s="31">
        <f>E913+F913+G913+H913+I913+J913+L913+N913+P913+R913+T913+U913+V913+W913+X913+Y913+Z913+AA913+AB913+AC913+AD913+AE913</f>
        <v>3974620.0799999996</v>
      </c>
      <c r="E913" s="31">
        <v>0</v>
      </c>
      <c r="F913" s="31">
        <v>0</v>
      </c>
      <c r="G913" s="31">
        <v>0</v>
      </c>
      <c r="H913" s="31">
        <v>0</v>
      </c>
      <c r="I913" s="31">
        <v>0</v>
      </c>
      <c r="J913" s="31">
        <v>0</v>
      </c>
      <c r="K913" s="33">
        <v>0</v>
      </c>
      <c r="L913" s="31">
        <v>0</v>
      </c>
      <c r="M913" s="31">
        <v>660.00388180300001</v>
      </c>
      <c r="N913" s="31">
        <f>3247692.88+520405.72</f>
        <v>3768098.5999999996</v>
      </c>
      <c r="O913" s="31">
        <v>0</v>
      </c>
      <c r="P913" s="31">
        <v>0</v>
      </c>
      <c r="Q913" s="31">
        <v>0</v>
      </c>
      <c r="R913" s="31">
        <v>0</v>
      </c>
      <c r="S913" s="31">
        <v>0</v>
      </c>
      <c r="T913" s="31">
        <v>0</v>
      </c>
      <c r="U913" s="31">
        <v>0</v>
      </c>
      <c r="V913" s="31">
        <v>0</v>
      </c>
      <c r="W913" s="31">
        <v>0</v>
      </c>
      <c r="X913" s="31">
        <v>0</v>
      </c>
      <c r="Y913" s="31">
        <v>0</v>
      </c>
      <c r="Z913" s="31">
        <v>0</v>
      </c>
      <c r="AA913" s="31">
        <v>0</v>
      </c>
      <c r="AB913" s="31">
        <v>0</v>
      </c>
      <c r="AC913" s="31">
        <f>ROUND(N913*1.5%,2)</f>
        <v>56521.48</v>
      </c>
      <c r="AD913" s="31">
        <v>150000</v>
      </c>
      <c r="AE913" s="31">
        <v>0</v>
      </c>
      <c r="AF913" s="34">
        <v>2021</v>
      </c>
      <c r="AG913" s="34">
        <v>2021</v>
      </c>
      <c r="AH913" s="35">
        <v>2021</v>
      </c>
      <c r="AT913" s="20" t="e">
        <f t="shared" si="189"/>
        <v>#N/A</v>
      </c>
      <c r="BZ913" s="71"/>
      <c r="CD913" s="20" t="e">
        <f t="shared" si="172"/>
        <v>#N/A</v>
      </c>
    </row>
    <row r="914" spans="1:82" ht="61.5" x14ac:dyDescent="0.85">
      <c r="B914" s="24" t="s">
        <v>903</v>
      </c>
      <c r="C914" s="24"/>
      <c r="D914" s="31">
        <f t="shared" ref="D914:AE914" si="195">D915</f>
        <v>2957808</v>
      </c>
      <c r="E914" s="31">
        <f t="shared" si="195"/>
        <v>0</v>
      </c>
      <c r="F914" s="31">
        <f t="shared" si="195"/>
        <v>0</v>
      </c>
      <c r="G914" s="31">
        <f t="shared" si="195"/>
        <v>0</v>
      </c>
      <c r="H914" s="31">
        <f t="shared" si="195"/>
        <v>0</v>
      </c>
      <c r="I914" s="31">
        <f t="shared" si="195"/>
        <v>0</v>
      </c>
      <c r="J914" s="31">
        <f t="shared" si="195"/>
        <v>0</v>
      </c>
      <c r="K914" s="33">
        <f t="shared" si="195"/>
        <v>0</v>
      </c>
      <c r="L914" s="31">
        <f t="shared" si="195"/>
        <v>0</v>
      </c>
      <c r="M914" s="31">
        <f t="shared" si="195"/>
        <v>600</v>
      </c>
      <c r="N914" s="31">
        <f t="shared" si="195"/>
        <v>2766313.3</v>
      </c>
      <c r="O914" s="31">
        <f t="shared" si="195"/>
        <v>0</v>
      </c>
      <c r="P914" s="31">
        <f t="shared" si="195"/>
        <v>0</v>
      </c>
      <c r="Q914" s="31">
        <f t="shared" si="195"/>
        <v>0</v>
      </c>
      <c r="R914" s="31">
        <f t="shared" si="195"/>
        <v>0</v>
      </c>
      <c r="S914" s="31">
        <f t="shared" si="195"/>
        <v>0</v>
      </c>
      <c r="T914" s="31">
        <f t="shared" si="195"/>
        <v>0</v>
      </c>
      <c r="U914" s="31">
        <f t="shared" si="195"/>
        <v>0</v>
      </c>
      <c r="V914" s="31">
        <f t="shared" si="195"/>
        <v>0</v>
      </c>
      <c r="W914" s="31">
        <f t="shared" si="195"/>
        <v>0</v>
      </c>
      <c r="X914" s="31">
        <f t="shared" si="195"/>
        <v>0</v>
      </c>
      <c r="Y914" s="31">
        <f t="shared" si="195"/>
        <v>0</v>
      </c>
      <c r="Z914" s="31">
        <f t="shared" si="195"/>
        <v>0</v>
      </c>
      <c r="AA914" s="31">
        <f t="shared" si="195"/>
        <v>0</v>
      </c>
      <c r="AB914" s="31">
        <f t="shared" si="195"/>
        <v>0</v>
      </c>
      <c r="AC914" s="31">
        <f t="shared" si="195"/>
        <v>41494.699999999997</v>
      </c>
      <c r="AD914" s="31">
        <f t="shared" si="195"/>
        <v>150000</v>
      </c>
      <c r="AE914" s="31">
        <f t="shared" si="195"/>
        <v>0</v>
      </c>
      <c r="AF914" s="72" t="s">
        <v>776</v>
      </c>
      <c r="AG914" s="72" t="s">
        <v>776</v>
      </c>
      <c r="AH914" s="89" t="s">
        <v>776</v>
      </c>
      <c r="AT914" s="20" t="e">
        <f t="shared" si="189"/>
        <v>#N/A</v>
      </c>
      <c r="BZ914" s="71">
        <v>2957808</v>
      </c>
      <c r="CD914" s="20" t="e">
        <f t="shared" si="172"/>
        <v>#N/A</v>
      </c>
    </row>
    <row r="915" spans="1:82" ht="61.5" x14ac:dyDescent="0.85">
      <c r="A915" s="20">
        <v>1</v>
      </c>
      <c r="B915" s="66">
        <f>SUBTOTAL(103,$A$554:A915)</f>
        <v>319</v>
      </c>
      <c r="C915" s="24" t="s">
        <v>157</v>
      </c>
      <c r="D915" s="31">
        <f>E915+F915+G915+H915+I915+J915+L915+N915+P915+R915+T915+U915+V915+W915+X915+Y915+Z915+AA915+AB915+AC915+AD915+AE915</f>
        <v>2957808</v>
      </c>
      <c r="E915" s="31">
        <v>0</v>
      </c>
      <c r="F915" s="31">
        <v>0</v>
      </c>
      <c r="G915" s="31">
        <v>0</v>
      </c>
      <c r="H915" s="31">
        <v>0</v>
      </c>
      <c r="I915" s="31">
        <v>0</v>
      </c>
      <c r="J915" s="31">
        <v>0</v>
      </c>
      <c r="K915" s="33">
        <v>0</v>
      </c>
      <c r="L915" s="31">
        <v>0</v>
      </c>
      <c r="M915" s="31">
        <v>600</v>
      </c>
      <c r="N915" s="31">
        <v>2766313.3</v>
      </c>
      <c r="O915" s="31">
        <v>0</v>
      </c>
      <c r="P915" s="31">
        <v>0</v>
      </c>
      <c r="Q915" s="31">
        <v>0</v>
      </c>
      <c r="R915" s="31">
        <v>0</v>
      </c>
      <c r="S915" s="31">
        <v>0</v>
      </c>
      <c r="T915" s="31">
        <v>0</v>
      </c>
      <c r="U915" s="31">
        <v>0</v>
      </c>
      <c r="V915" s="31">
        <v>0</v>
      </c>
      <c r="W915" s="31">
        <v>0</v>
      </c>
      <c r="X915" s="31">
        <v>0</v>
      </c>
      <c r="Y915" s="31">
        <v>0</v>
      </c>
      <c r="Z915" s="31">
        <v>0</v>
      </c>
      <c r="AA915" s="31">
        <v>0</v>
      </c>
      <c r="AB915" s="31">
        <v>0</v>
      </c>
      <c r="AC915" s="31">
        <f>ROUND(N915*1.5%,2)</f>
        <v>41494.699999999997</v>
      </c>
      <c r="AD915" s="31">
        <v>150000</v>
      </c>
      <c r="AE915" s="31">
        <v>0</v>
      </c>
      <c r="AF915" s="34">
        <v>2021</v>
      </c>
      <c r="AG915" s="34">
        <v>2021</v>
      </c>
      <c r="AH915" s="35">
        <v>2021</v>
      </c>
      <c r="AT915" s="20" t="e">
        <f t="shared" si="189"/>
        <v>#N/A</v>
      </c>
      <c r="BZ915" s="71"/>
      <c r="CD915" s="20" t="e">
        <f t="shared" si="172"/>
        <v>#N/A</v>
      </c>
    </row>
    <row r="916" spans="1:82" ht="61.5" x14ac:dyDescent="0.85">
      <c r="B916" s="24" t="s">
        <v>876</v>
      </c>
      <c r="C916" s="24"/>
      <c r="D916" s="31">
        <f t="shared" ref="D916:AE916" si="196">D917</f>
        <v>4651054.3499999996</v>
      </c>
      <c r="E916" s="31">
        <f t="shared" si="196"/>
        <v>0</v>
      </c>
      <c r="F916" s="31">
        <f t="shared" si="196"/>
        <v>0</v>
      </c>
      <c r="G916" s="31">
        <f t="shared" si="196"/>
        <v>0</v>
      </c>
      <c r="H916" s="31">
        <f t="shared" si="196"/>
        <v>0</v>
      </c>
      <c r="I916" s="31">
        <f t="shared" si="196"/>
        <v>0</v>
      </c>
      <c r="J916" s="31">
        <f t="shared" si="196"/>
        <v>0</v>
      </c>
      <c r="K916" s="33">
        <f t="shared" si="196"/>
        <v>0</v>
      </c>
      <c r="L916" s="31">
        <f t="shared" si="196"/>
        <v>0</v>
      </c>
      <c r="M916" s="31">
        <f t="shared" si="196"/>
        <v>785</v>
      </c>
      <c r="N916" s="31">
        <f t="shared" si="196"/>
        <v>4434536.3099999996</v>
      </c>
      <c r="O916" s="31">
        <f t="shared" si="196"/>
        <v>0</v>
      </c>
      <c r="P916" s="31">
        <f t="shared" si="196"/>
        <v>0</v>
      </c>
      <c r="Q916" s="31">
        <f t="shared" si="196"/>
        <v>0</v>
      </c>
      <c r="R916" s="31">
        <f t="shared" si="196"/>
        <v>0</v>
      </c>
      <c r="S916" s="31">
        <f t="shared" si="196"/>
        <v>0</v>
      </c>
      <c r="T916" s="31">
        <f t="shared" si="196"/>
        <v>0</v>
      </c>
      <c r="U916" s="31">
        <f t="shared" si="196"/>
        <v>0</v>
      </c>
      <c r="V916" s="31">
        <f t="shared" si="196"/>
        <v>0</v>
      </c>
      <c r="W916" s="31">
        <f t="shared" si="196"/>
        <v>0</v>
      </c>
      <c r="X916" s="31">
        <f t="shared" si="196"/>
        <v>0</v>
      </c>
      <c r="Y916" s="31">
        <f t="shared" si="196"/>
        <v>0</v>
      </c>
      <c r="Z916" s="31">
        <f t="shared" si="196"/>
        <v>0</v>
      </c>
      <c r="AA916" s="31">
        <f t="shared" si="196"/>
        <v>0</v>
      </c>
      <c r="AB916" s="31">
        <f t="shared" si="196"/>
        <v>0</v>
      </c>
      <c r="AC916" s="31">
        <f t="shared" si="196"/>
        <v>66518.039999999994</v>
      </c>
      <c r="AD916" s="31">
        <f t="shared" si="196"/>
        <v>150000</v>
      </c>
      <c r="AE916" s="31">
        <f t="shared" si="196"/>
        <v>0</v>
      </c>
      <c r="AF916" s="72" t="s">
        <v>776</v>
      </c>
      <c r="AG916" s="72" t="s">
        <v>776</v>
      </c>
      <c r="AH916" s="89" t="s">
        <v>776</v>
      </c>
      <c r="AT916" s="20" t="e">
        <f t="shared" si="189"/>
        <v>#N/A</v>
      </c>
      <c r="BZ916" s="71">
        <v>4651054.3499999996</v>
      </c>
      <c r="CD916" s="20" t="e">
        <f t="shared" si="172"/>
        <v>#N/A</v>
      </c>
    </row>
    <row r="917" spans="1:82" ht="61.5" x14ac:dyDescent="0.85">
      <c r="A917" s="20">
        <v>1</v>
      </c>
      <c r="B917" s="66">
        <f>SUBTOTAL(103,$A$554:A917)</f>
        <v>320</v>
      </c>
      <c r="C917" s="24" t="s">
        <v>156</v>
      </c>
      <c r="D917" s="31">
        <f>E917+F917+G917+H917+I917+J917+L917+N917+P917+R917+T917+U917+V917+W917+X917+Y917+Z917+AA917+AB917+AC917+AD917+AE917</f>
        <v>4651054.3499999996</v>
      </c>
      <c r="E917" s="31">
        <v>0</v>
      </c>
      <c r="F917" s="31">
        <v>0</v>
      </c>
      <c r="G917" s="31">
        <v>0</v>
      </c>
      <c r="H917" s="31">
        <v>0</v>
      </c>
      <c r="I917" s="31">
        <v>0</v>
      </c>
      <c r="J917" s="31">
        <v>0</v>
      </c>
      <c r="K917" s="33">
        <v>0</v>
      </c>
      <c r="L917" s="31">
        <v>0</v>
      </c>
      <c r="M917" s="31">
        <v>785</v>
      </c>
      <c r="N917" s="31">
        <v>4434536.3099999996</v>
      </c>
      <c r="O917" s="31">
        <v>0</v>
      </c>
      <c r="P917" s="31">
        <v>0</v>
      </c>
      <c r="Q917" s="31">
        <v>0</v>
      </c>
      <c r="R917" s="31">
        <v>0</v>
      </c>
      <c r="S917" s="31">
        <v>0</v>
      </c>
      <c r="T917" s="31">
        <v>0</v>
      </c>
      <c r="U917" s="31">
        <v>0</v>
      </c>
      <c r="V917" s="31">
        <v>0</v>
      </c>
      <c r="W917" s="31">
        <v>0</v>
      </c>
      <c r="X917" s="31">
        <v>0</v>
      </c>
      <c r="Y917" s="31">
        <v>0</v>
      </c>
      <c r="Z917" s="31">
        <v>0</v>
      </c>
      <c r="AA917" s="31">
        <v>0</v>
      </c>
      <c r="AB917" s="31">
        <v>0</v>
      </c>
      <c r="AC917" s="31">
        <f>ROUND(N917*1.5%,2)</f>
        <v>66518.039999999994</v>
      </c>
      <c r="AD917" s="31">
        <v>150000</v>
      </c>
      <c r="AE917" s="31">
        <v>0</v>
      </c>
      <c r="AF917" s="34">
        <v>2021</v>
      </c>
      <c r="AG917" s="34">
        <v>2021</v>
      </c>
      <c r="AH917" s="35">
        <v>2021</v>
      </c>
      <c r="AT917" s="20" t="e">
        <f t="shared" si="189"/>
        <v>#N/A</v>
      </c>
      <c r="BZ917" s="71"/>
      <c r="CD917" s="20" t="e">
        <f t="shared" si="172"/>
        <v>#N/A</v>
      </c>
    </row>
    <row r="918" spans="1:82" ht="61.5" x14ac:dyDescent="0.85">
      <c r="B918" s="24" t="s">
        <v>877</v>
      </c>
      <c r="C918" s="24"/>
      <c r="D918" s="31">
        <f>D919</f>
        <v>3145116.58</v>
      </c>
      <c r="E918" s="31">
        <f t="shared" ref="E918:AE918" si="197">E919</f>
        <v>0</v>
      </c>
      <c r="F918" s="31">
        <f t="shared" si="197"/>
        <v>0</v>
      </c>
      <c r="G918" s="31">
        <f t="shared" si="197"/>
        <v>0</v>
      </c>
      <c r="H918" s="31">
        <f t="shared" si="197"/>
        <v>0</v>
      </c>
      <c r="I918" s="31">
        <f t="shared" si="197"/>
        <v>0</v>
      </c>
      <c r="J918" s="31">
        <f t="shared" si="197"/>
        <v>0</v>
      </c>
      <c r="K918" s="33">
        <f t="shared" si="197"/>
        <v>0</v>
      </c>
      <c r="L918" s="31">
        <f t="shared" si="197"/>
        <v>0</v>
      </c>
      <c r="M918" s="31">
        <f t="shared" si="197"/>
        <v>602.30499999999995</v>
      </c>
      <c r="N918" s="31">
        <f t="shared" si="197"/>
        <v>2950853.77</v>
      </c>
      <c r="O918" s="31">
        <f t="shared" si="197"/>
        <v>0</v>
      </c>
      <c r="P918" s="31">
        <f t="shared" si="197"/>
        <v>0</v>
      </c>
      <c r="Q918" s="31">
        <f t="shared" si="197"/>
        <v>0</v>
      </c>
      <c r="R918" s="31">
        <f t="shared" si="197"/>
        <v>0</v>
      </c>
      <c r="S918" s="31">
        <f t="shared" si="197"/>
        <v>0</v>
      </c>
      <c r="T918" s="31">
        <f t="shared" si="197"/>
        <v>0</v>
      </c>
      <c r="U918" s="31">
        <f t="shared" si="197"/>
        <v>0</v>
      </c>
      <c r="V918" s="31">
        <f t="shared" si="197"/>
        <v>0</v>
      </c>
      <c r="W918" s="31">
        <f t="shared" si="197"/>
        <v>0</v>
      </c>
      <c r="X918" s="31">
        <f t="shared" si="197"/>
        <v>0</v>
      </c>
      <c r="Y918" s="31">
        <f t="shared" si="197"/>
        <v>0</v>
      </c>
      <c r="Z918" s="31">
        <f t="shared" si="197"/>
        <v>0</v>
      </c>
      <c r="AA918" s="31">
        <f t="shared" si="197"/>
        <v>0</v>
      </c>
      <c r="AB918" s="31">
        <f t="shared" si="197"/>
        <v>0</v>
      </c>
      <c r="AC918" s="31">
        <f t="shared" si="197"/>
        <v>44262.81</v>
      </c>
      <c r="AD918" s="31">
        <f t="shared" si="197"/>
        <v>150000</v>
      </c>
      <c r="AE918" s="31">
        <f t="shared" si="197"/>
        <v>0</v>
      </c>
      <c r="AF918" s="72" t="s">
        <v>776</v>
      </c>
      <c r="AG918" s="72" t="s">
        <v>776</v>
      </c>
      <c r="AH918" s="89" t="s">
        <v>776</v>
      </c>
      <c r="AT918" s="20" t="e">
        <f t="shared" si="189"/>
        <v>#N/A</v>
      </c>
      <c r="BZ918" s="31">
        <v>3145116.58</v>
      </c>
      <c r="CA918" s="31"/>
      <c r="CB918" s="31">
        <f>BZ918-D918</f>
        <v>0</v>
      </c>
      <c r="CD918" s="20" t="e">
        <f t="shared" si="172"/>
        <v>#N/A</v>
      </c>
    </row>
    <row r="919" spans="1:82" ht="61.5" x14ac:dyDescent="0.85">
      <c r="A919" s="20">
        <v>1</v>
      </c>
      <c r="B919" s="66">
        <f>SUBTOTAL(103,$A$554:A919)</f>
        <v>321</v>
      </c>
      <c r="C919" s="24" t="s">
        <v>155</v>
      </c>
      <c r="D919" s="31">
        <f>E919+F919+G919+H919+I919+J919+L919+N919+P919+R919+T919+U919+V919+W919+X919+Y919+Z919+AA919+AB919+AC919+AD919+AE919</f>
        <v>3145116.58</v>
      </c>
      <c r="E919" s="31">
        <v>0</v>
      </c>
      <c r="F919" s="31">
        <v>0</v>
      </c>
      <c r="G919" s="31">
        <v>0</v>
      </c>
      <c r="H919" s="31">
        <v>0</v>
      </c>
      <c r="I919" s="31">
        <v>0</v>
      </c>
      <c r="J919" s="31">
        <v>0</v>
      </c>
      <c r="K919" s="33">
        <v>0</v>
      </c>
      <c r="L919" s="31">
        <v>0</v>
      </c>
      <c r="M919" s="31">
        <v>602.30499999999995</v>
      </c>
      <c r="N919" s="31">
        <v>2950853.77</v>
      </c>
      <c r="O919" s="31">
        <v>0</v>
      </c>
      <c r="P919" s="31">
        <v>0</v>
      </c>
      <c r="Q919" s="31">
        <v>0</v>
      </c>
      <c r="R919" s="31">
        <v>0</v>
      </c>
      <c r="S919" s="31">
        <v>0</v>
      </c>
      <c r="T919" s="31">
        <v>0</v>
      </c>
      <c r="U919" s="31">
        <v>0</v>
      </c>
      <c r="V919" s="31">
        <v>0</v>
      </c>
      <c r="W919" s="31">
        <v>0</v>
      </c>
      <c r="X919" s="31">
        <v>0</v>
      </c>
      <c r="Y919" s="31">
        <v>0</v>
      </c>
      <c r="Z919" s="31">
        <v>0</v>
      </c>
      <c r="AA919" s="31">
        <v>0</v>
      </c>
      <c r="AB919" s="31">
        <v>0</v>
      </c>
      <c r="AC919" s="31">
        <f>ROUND(N919*1.5%,2)</f>
        <v>44262.81</v>
      </c>
      <c r="AD919" s="31">
        <v>150000</v>
      </c>
      <c r="AE919" s="31">
        <v>0</v>
      </c>
      <c r="AF919" s="34">
        <v>2021</v>
      </c>
      <c r="AG919" s="34">
        <v>2021</v>
      </c>
      <c r="AH919" s="35">
        <v>2021</v>
      </c>
      <c r="AT919" s="20" t="e">
        <f t="shared" si="189"/>
        <v>#N/A</v>
      </c>
      <c r="BZ919" s="71"/>
      <c r="CD919" s="20" t="e">
        <f t="shared" ref="CD919:CD945" si="198">VLOOKUP(C919,CE:CF,2,FALSE)</f>
        <v>#N/A</v>
      </c>
    </row>
    <row r="920" spans="1:82" ht="61.5" x14ac:dyDescent="0.85">
      <c r="B920" s="24" t="s">
        <v>878</v>
      </c>
      <c r="C920" s="24"/>
      <c r="D920" s="31">
        <f>D921+D922+D923</f>
        <v>13767321.040000001</v>
      </c>
      <c r="E920" s="31">
        <f t="shared" ref="E920:AE920" si="199">E921+E922+E923</f>
        <v>0</v>
      </c>
      <c r="F920" s="31">
        <f t="shared" si="199"/>
        <v>0</v>
      </c>
      <c r="G920" s="31">
        <f t="shared" si="199"/>
        <v>0</v>
      </c>
      <c r="H920" s="31">
        <f t="shared" si="199"/>
        <v>464292.62</v>
      </c>
      <c r="I920" s="31">
        <f t="shared" si="199"/>
        <v>0</v>
      </c>
      <c r="J920" s="31">
        <f t="shared" si="199"/>
        <v>0</v>
      </c>
      <c r="K920" s="33">
        <f t="shared" si="199"/>
        <v>0</v>
      </c>
      <c r="L920" s="31">
        <f t="shared" si="199"/>
        <v>0</v>
      </c>
      <c r="M920" s="31">
        <f t="shared" si="199"/>
        <v>2643.6499999999996</v>
      </c>
      <c r="N920" s="31">
        <f t="shared" si="199"/>
        <v>12675925.15</v>
      </c>
      <c r="O920" s="31">
        <f t="shared" si="199"/>
        <v>0</v>
      </c>
      <c r="P920" s="31">
        <f t="shared" si="199"/>
        <v>0</v>
      </c>
      <c r="Q920" s="31">
        <f t="shared" si="199"/>
        <v>0</v>
      </c>
      <c r="R920" s="31">
        <f t="shared" si="199"/>
        <v>0</v>
      </c>
      <c r="S920" s="31">
        <f t="shared" si="199"/>
        <v>0</v>
      </c>
      <c r="T920" s="31">
        <f t="shared" si="199"/>
        <v>0</v>
      </c>
      <c r="U920" s="31">
        <f t="shared" si="199"/>
        <v>0</v>
      </c>
      <c r="V920" s="31">
        <f t="shared" si="199"/>
        <v>0</v>
      </c>
      <c r="W920" s="31">
        <f t="shared" si="199"/>
        <v>0</v>
      </c>
      <c r="X920" s="31">
        <f t="shared" si="199"/>
        <v>0</v>
      </c>
      <c r="Y920" s="31">
        <f t="shared" si="199"/>
        <v>0</v>
      </c>
      <c r="Z920" s="31">
        <f t="shared" si="199"/>
        <v>0</v>
      </c>
      <c r="AA920" s="31">
        <f t="shared" si="199"/>
        <v>0</v>
      </c>
      <c r="AB920" s="31">
        <f t="shared" si="199"/>
        <v>0</v>
      </c>
      <c r="AC920" s="31">
        <f t="shared" si="199"/>
        <v>197103.27000000002</v>
      </c>
      <c r="AD920" s="31">
        <f t="shared" si="199"/>
        <v>430000</v>
      </c>
      <c r="AE920" s="31">
        <f t="shared" si="199"/>
        <v>0</v>
      </c>
      <c r="AF920" s="72" t="s">
        <v>776</v>
      </c>
      <c r="AG920" s="72" t="s">
        <v>776</v>
      </c>
      <c r="AH920" s="89" t="s">
        <v>776</v>
      </c>
      <c r="AT920" s="20" t="e">
        <f t="shared" si="189"/>
        <v>#N/A</v>
      </c>
      <c r="BZ920" s="71">
        <v>13767321.040000001</v>
      </c>
      <c r="CD920" s="20" t="e">
        <f t="shared" si="198"/>
        <v>#N/A</v>
      </c>
    </row>
    <row r="921" spans="1:82" ht="61.5" x14ac:dyDescent="0.85">
      <c r="A921" s="20">
        <v>1</v>
      </c>
      <c r="B921" s="66">
        <f>SUBTOTAL(103,$A$554:A921)</f>
        <v>322</v>
      </c>
      <c r="C921" s="24" t="s">
        <v>148</v>
      </c>
      <c r="D921" s="31">
        <f>E921+F921+G921+H921+I921+J921+L921+N921+P921+R921+T921+U921+V921+W921+X921+Y921+Z921+AA921+AB921+AC921+AD921+AE921</f>
        <v>6391288.3800000008</v>
      </c>
      <c r="E921" s="31">
        <v>0</v>
      </c>
      <c r="F921" s="31">
        <v>0</v>
      </c>
      <c r="G921" s="31">
        <v>0</v>
      </c>
      <c r="H921" s="31">
        <v>0</v>
      </c>
      <c r="I921" s="31">
        <v>0</v>
      </c>
      <c r="J921" s="31">
        <v>0</v>
      </c>
      <c r="K921" s="33">
        <v>0</v>
      </c>
      <c r="L921" s="31">
        <v>0</v>
      </c>
      <c r="M921" s="31">
        <v>1101.8</v>
      </c>
      <c r="N921" s="31">
        <v>6119495.9400000004</v>
      </c>
      <c r="O921" s="31">
        <v>0</v>
      </c>
      <c r="P921" s="31">
        <v>0</v>
      </c>
      <c r="Q921" s="31">
        <v>0</v>
      </c>
      <c r="R921" s="31">
        <v>0</v>
      </c>
      <c r="S921" s="31">
        <v>0</v>
      </c>
      <c r="T921" s="31">
        <v>0</v>
      </c>
      <c r="U921" s="31">
        <v>0</v>
      </c>
      <c r="V921" s="31">
        <v>0</v>
      </c>
      <c r="W921" s="31">
        <v>0</v>
      </c>
      <c r="X921" s="31">
        <v>0</v>
      </c>
      <c r="Y921" s="31">
        <v>0</v>
      </c>
      <c r="Z921" s="31">
        <v>0</v>
      </c>
      <c r="AA921" s="31">
        <v>0</v>
      </c>
      <c r="AB921" s="31">
        <v>0</v>
      </c>
      <c r="AC921" s="31">
        <f>ROUND(N921*1.5%,2)</f>
        <v>91792.44</v>
      </c>
      <c r="AD921" s="31">
        <v>180000</v>
      </c>
      <c r="AE921" s="31">
        <v>0</v>
      </c>
      <c r="AF921" s="34">
        <v>2021</v>
      </c>
      <c r="AG921" s="34">
        <v>2021</v>
      </c>
      <c r="AH921" s="35">
        <v>2021</v>
      </c>
      <c r="AT921" s="20" t="e">
        <f t="shared" si="189"/>
        <v>#N/A</v>
      </c>
      <c r="BZ921" s="71"/>
      <c r="CD921" s="20" t="e">
        <f t="shared" si="198"/>
        <v>#N/A</v>
      </c>
    </row>
    <row r="922" spans="1:82" ht="61.5" x14ac:dyDescent="0.85">
      <c r="A922" s="20">
        <v>1</v>
      </c>
      <c r="B922" s="66">
        <f>SUBTOTAL(103,$A$554:A922)</f>
        <v>323</v>
      </c>
      <c r="C922" s="24" t="s">
        <v>160</v>
      </c>
      <c r="D922" s="31">
        <f>E922+F922+G922+H922+I922+J922+L922+N922+P922+R922+T922+U922+V922+W922+X922+Y922+Z922+AA922+AB922+AC922+AD922+AE922</f>
        <v>6834775.6500000004</v>
      </c>
      <c r="E922" s="31">
        <v>0</v>
      </c>
      <c r="F922" s="31">
        <v>0</v>
      </c>
      <c r="G922" s="31">
        <v>0</v>
      </c>
      <c r="H922" s="31">
        <v>0</v>
      </c>
      <c r="I922" s="31">
        <v>0</v>
      </c>
      <c r="J922" s="31">
        <v>0</v>
      </c>
      <c r="K922" s="33">
        <v>0</v>
      </c>
      <c r="L922" s="31">
        <v>0</v>
      </c>
      <c r="M922" s="31">
        <v>1541.85</v>
      </c>
      <c r="N922" s="31">
        <v>6556429.21</v>
      </c>
      <c r="O922" s="31">
        <v>0</v>
      </c>
      <c r="P922" s="31">
        <v>0</v>
      </c>
      <c r="Q922" s="31">
        <v>0</v>
      </c>
      <c r="R922" s="31">
        <v>0</v>
      </c>
      <c r="S922" s="31">
        <v>0</v>
      </c>
      <c r="T922" s="31">
        <v>0</v>
      </c>
      <c r="U922" s="31">
        <v>0</v>
      </c>
      <c r="V922" s="31">
        <v>0</v>
      </c>
      <c r="W922" s="31">
        <v>0</v>
      </c>
      <c r="X922" s="31">
        <v>0</v>
      </c>
      <c r="Y922" s="31">
        <v>0</v>
      </c>
      <c r="Z922" s="31">
        <v>0</v>
      </c>
      <c r="AA922" s="31">
        <v>0</v>
      </c>
      <c r="AB922" s="31">
        <v>0</v>
      </c>
      <c r="AC922" s="31">
        <f>ROUND(N922*1.5%,2)</f>
        <v>98346.44</v>
      </c>
      <c r="AD922" s="31">
        <v>180000</v>
      </c>
      <c r="AE922" s="31">
        <v>0</v>
      </c>
      <c r="AF922" s="34">
        <v>2021</v>
      </c>
      <c r="AG922" s="34">
        <v>2021</v>
      </c>
      <c r="AH922" s="35">
        <v>2021</v>
      </c>
      <c r="AT922" s="20" t="e">
        <f>VLOOKUP(C922,AW$922:AX$922,2,FALSE)</f>
        <v>#N/A</v>
      </c>
      <c r="BZ922" s="71"/>
      <c r="CD922" s="20" t="e">
        <f t="shared" si="198"/>
        <v>#N/A</v>
      </c>
    </row>
    <row r="923" spans="1:82" ht="61.5" x14ac:dyDescent="0.85">
      <c r="A923" s="20">
        <v>1</v>
      </c>
      <c r="B923" s="66">
        <f>SUBTOTAL(103,$A$554:A923)</f>
        <v>324</v>
      </c>
      <c r="C923" s="24" t="s">
        <v>150</v>
      </c>
      <c r="D923" s="31">
        <f>E923+F923+G923+H923+I923+J923+L923+N923+P923+R923+T923+U923+V923+W923+X923+Y923+Z923+AA923+AB923+AC923+AD923+AE923</f>
        <v>541257.01</v>
      </c>
      <c r="E923" s="31">
        <v>0</v>
      </c>
      <c r="F923" s="31">
        <v>0</v>
      </c>
      <c r="G923" s="31">
        <v>0</v>
      </c>
      <c r="H923" s="31">
        <v>464292.62</v>
      </c>
      <c r="I923" s="31">
        <v>0</v>
      </c>
      <c r="J923" s="31">
        <v>0</v>
      </c>
      <c r="K923" s="33">
        <v>0</v>
      </c>
      <c r="L923" s="31">
        <v>0</v>
      </c>
      <c r="M923" s="31">
        <v>0</v>
      </c>
      <c r="N923" s="31">
        <v>0</v>
      </c>
      <c r="O923" s="31">
        <v>0</v>
      </c>
      <c r="P923" s="31">
        <v>0</v>
      </c>
      <c r="Q923" s="31">
        <v>0</v>
      </c>
      <c r="R923" s="31">
        <v>0</v>
      </c>
      <c r="S923" s="31">
        <v>0</v>
      </c>
      <c r="T923" s="31">
        <v>0</v>
      </c>
      <c r="U923" s="31">
        <v>0</v>
      </c>
      <c r="V923" s="31">
        <v>0</v>
      </c>
      <c r="W923" s="31">
        <v>0</v>
      </c>
      <c r="X923" s="31">
        <v>0</v>
      </c>
      <c r="Y923" s="31">
        <v>0</v>
      </c>
      <c r="Z923" s="31">
        <v>0</v>
      </c>
      <c r="AA923" s="31">
        <v>0</v>
      </c>
      <c r="AB923" s="31">
        <v>0</v>
      </c>
      <c r="AC923" s="31">
        <f>ROUND((E923+F923+G923+H923+I923+J923)*1.5%,2)</f>
        <v>6964.39</v>
      </c>
      <c r="AD923" s="31">
        <v>70000</v>
      </c>
      <c r="AE923" s="31">
        <v>0</v>
      </c>
      <c r="AF923" s="34">
        <v>2021</v>
      </c>
      <c r="AG923" s="34">
        <v>2021</v>
      </c>
      <c r="AH923" s="35">
        <v>2021</v>
      </c>
      <c r="AT923" s="20" t="e">
        <f t="shared" ref="AT923:AT955" si="200">VLOOKUP(C923,AW:AX,2,FALSE)</f>
        <v>#N/A</v>
      </c>
      <c r="BZ923" s="71"/>
      <c r="CD923" s="20" t="e">
        <f t="shared" si="198"/>
        <v>#N/A</v>
      </c>
    </row>
    <row r="924" spans="1:82" ht="61.5" x14ac:dyDescent="0.85">
      <c r="B924" s="24" t="s">
        <v>879</v>
      </c>
      <c r="C924" s="166"/>
      <c r="D924" s="31">
        <f>D925+D926</f>
        <v>9023270.3999999985</v>
      </c>
      <c r="E924" s="31">
        <f t="shared" ref="E924:AE924" si="201">E925+E926</f>
        <v>0</v>
      </c>
      <c r="F924" s="31">
        <f t="shared" si="201"/>
        <v>0</v>
      </c>
      <c r="G924" s="31">
        <f t="shared" si="201"/>
        <v>0</v>
      </c>
      <c r="H924" s="31">
        <f t="shared" si="201"/>
        <v>0</v>
      </c>
      <c r="I924" s="31">
        <f t="shared" si="201"/>
        <v>0</v>
      </c>
      <c r="J924" s="31">
        <f t="shared" si="201"/>
        <v>0</v>
      </c>
      <c r="K924" s="33">
        <f t="shared" si="201"/>
        <v>0</v>
      </c>
      <c r="L924" s="31">
        <f t="shared" si="201"/>
        <v>0</v>
      </c>
      <c r="M924" s="31">
        <f t="shared" si="201"/>
        <v>1728</v>
      </c>
      <c r="N924" s="31">
        <f t="shared" si="201"/>
        <v>8594355.0800000001</v>
      </c>
      <c r="O924" s="31">
        <f t="shared" si="201"/>
        <v>0</v>
      </c>
      <c r="P924" s="31">
        <f t="shared" si="201"/>
        <v>0</v>
      </c>
      <c r="Q924" s="31">
        <f t="shared" si="201"/>
        <v>0</v>
      </c>
      <c r="R924" s="31">
        <f t="shared" si="201"/>
        <v>0</v>
      </c>
      <c r="S924" s="31">
        <f t="shared" si="201"/>
        <v>0</v>
      </c>
      <c r="T924" s="31">
        <f t="shared" si="201"/>
        <v>0</v>
      </c>
      <c r="U924" s="31">
        <f t="shared" si="201"/>
        <v>0</v>
      </c>
      <c r="V924" s="31">
        <f t="shared" si="201"/>
        <v>0</v>
      </c>
      <c r="W924" s="31">
        <f t="shared" si="201"/>
        <v>0</v>
      </c>
      <c r="X924" s="31">
        <f t="shared" si="201"/>
        <v>0</v>
      </c>
      <c r="Y924" s="31">
        <f t="shared" si="201"/>
        <v>0</v>
      </c>
      <c r="Z924" s="31">
        <f t="shared" si="201"/>
        <v>0</v>
      </c>
      <c r="AA924" s="31">
        <f t="shared" si="201"/>
        <v>0</v>
      </c>
      <c r="AB924" s="31">
        <f t="shared" si="201"/>
        <v>0</v>
      </c>
      <c r="AC924" s="31">
        <f t="shared" si="201"/>
        <v>128915.32</v>
      </c>
      <c r="AD924" s="31">
        <f t="shared" si="201"/>
        <v>300000</v>
      </c>
      <c r="AE924" s="31">
        <f t="shared" si="201"/>
        <v>0</v>
      </c>
      <c r="AF924" s="72" t="s">
        <v>776</v>
      </c>
      <c r="AG924" s="72" t="s">
        <v>776</v>
      </c>
      <c r="AH924" s="89" t="s">
        <v>776</v>
      </c>
      <c r="AT924" s="20" t="e">
        <f t="shared" si="200"/>
        <v>#N/A</v>
      </c>
      <c r="BZ924" s="71">
        <v>9023270.3999999985</v>
      </c>
      <c r="CD924" s="20" t="e">
        <f t="shared" si="198"/>
        <v>#N/A</v>
      </c>
    </row>
    <row r="925" spans="1:82" ht="61.5" x14ac:dyDescent="0.85">
      <c r="A925" s="20">
        <v>1</v>
      </c>
      <c r="B925" s="66">
        <f>SUBTOTAL(103,$A$554:A925)</f>
        <v>325</v>
      </c>
      <c r="C925" s="24" t="s">
        <v>97</v>
      </c>
      <c r="D925" s="31">
        <f>E925+F925+G925+H925+I925+J925+L925+N925+P925+R925+T925+U925+V925+W925+X925+Y925+Z925+AA925+AB925+AC925+AD925+AE925</f>
        <v>4020786</v>
      </c>
      <c r="E925" s="31">
        <v>0</v>
      </c>
      <c r="F925" s="31">
        <v>0</v>
      </c>
      <c r="G925" s="31">
        <v>0</v>
      </c>
      <c r="H925" s="31">
        <v>0</v>
      </c>
      <c r="I925" s="31">
        <v>0</v>
      </c>
      <c r="J925" s="31">
        <v>0</v>
      </c>
      <c r="K925" s="33">
        <v>0</v>
      </c>
      <c r="L925" s="31">
        <v>0</v>
      </c>
      <c r="M925" s="31">
        <v>770</v>
      </c>
      <c r="N925" s="31">
        <v>3813582.27</v>
      </c>
      <c r="O925" s="31">
        <v>0</v>
      </c>
      <c r="P925" s="31">
        <v>0</v>
      </c>
      <c r="Q925" s="31">
        <v>0</v>
      </c>
      <c r="R925" s="31">
        <v>0</v>
      </c>
      <c r="S925" s="31">
        <v>0</v>
      </c>
      <c r="T925" s="31">
        <v>0</v>
      </c>
      <c r="U925" s="31">
        <v>0</v>
      </c>
      <c r="V925" s="31">
        <v>0</v>
      </c>
      <c r="W925" s="31">
        <v>0</v>
      </c>
      <c r="X925" s="31">
        <v>0</v>
      </c>
      <c r="Y925" s="31">
        <v>0</v>
      </c>
      <c r="Z925" s="31">
        <v>0</v>
      </c>
      <c r="AA925" s="31">
        <v>0</v>
      </c>
      <c r="AB925" s="31">
        <v>0</v>
      </c>
      <c r="AC925" s="31">
        <f>ROUND(N925*1.5%,2)</f>
        <v>57203.73</v>
      </c>
      <c r="AD925" s="31">
        <v>150000</v>
      </c>
      <c r="AE925" s="31">
        <v>0</v>
      </c>
      <c r="AF925" s="34">
        <v>2021</v>
      </c>
      <c r="AG925" s="34">
        <v>2021</v>
      </c>
      <c r="AH925" s="35">
        <v>2021</v>
      </c>
      <c r="AT925" s="20" t="e">
        <f t="shared" si="200"/>
        <v>#N/A</v>
      </c>
      <c r="BZ925" s="71"/>
      <c r="CD925" s="20" t="e">
        <f t="shared" si="198"/>
        <v>#N/A</v>
      </c>
    </row>
    <row r="926" spans="1:82" ht="61.5" x14ac:dyDescent="0.85">
      <c r="A926" s="20">
        <v>1</v>
      </c>
      <c r="B926" s="66">
        <f>SUBTOTAL(103,$A$554:A926)</f>
        <v>326</v>
      </c>
      <c r="C926" s="24" t="s">
        <v>96</v>
      </c>
      <c r="D926" s="31">
        <f>E926+F926+G926+H926+I926+J926+L926+N926+P926+R926+T926+U926+V926+W926+X926+Y926+Z926+AA926+AB926+AC926+AD926+AE926</f>
        <v>5002484.3999999994</v>
      </c>
      <c r="E926" s="31">
        <v>0</v>
      </c>
      <c r="F926" s="31">
        <v>0</v>
      </c>
      <c r="G926" s="31">
        <v>0</v>
      </c>
      <c r="H926" s="31">
        <v>0</v>
      </c>
      <c r="I926" s="31">
        <v>0</v>
      </c>
      <c r="J926" s="31">
        <v>0</v>
      </c>
      <c r="K926" s="33">
        <v>0</v>
      </c>
      <c r="L926" s="31">
        <v>0</v>
      </c>
      <c r="M926" s="31">
        <v>958</v>
      </c>
      <c r="N926" s="31">
        <v>4780772.8099999996</v>
      </c>
      <c r="O926" s="31">
        <v>0</v>
      </c>
      <c r="P926" s="31">
        <v>0</v>
      </c>
      <c r="Q926" s="31">
        <v>0</v>
      </c>
      <c r="R926" s="31">
        <v>0</v>
      </c>
      <c r="S926" s="31">
        <v>0</v>
      </c>
      <c r="T926" s="31">
        <v>0</v>
      </c>
      <c r="U926" s="31">
        <v>0</v>
      </c>
      <c r="V926" s="31">
        <v>0</v>
      </c>
      <c r="W926" s="31">
        <v>0</v>
      </c>
      <c r="X926" s="31">
        <v>0</v>
      </c>
      <c r="Y926" s="31">
        <v>0</v>
      </c>
      <c r="Z926" s="31">
        <v>0</v>
      </c>
      <c r="AA926" s="31">
        <v>0</v>
      </c>
      <c r="AB926" s="31">
        <v>0</v>
      </c>
      <c r="AC926" s="31">
        <f>ROUND(N926*1.5%,2)</f>
        <v>71711.59</v>
      </c>
      <c r="AD926" s="31">
        <v>150000</v>
      </c>
      <c r="AE926" s="31">
        <v>0</v>
      </c>
      <c r="AF926" s="34">
        <v>2021</v>
      </c>
      <c r="AG926" s="34">
        <v>2021</v>
      </c>
      <c r="AH926" s="35">
        <v>2021</v>
      </c>
      <c r="AT926" s="20" t="e">
        <f t="shared" si="200"/>
        <v>#N/A</v>
      </c>
      <c r="BZ926" s="71"/>
      <c r="CD926" s="20" t="e">
        <f t="shared" si="198"/>
        <v>#N/A</v>
      </c>
    </row>
    <row r="927" spans="1:82" ht="61.5" x14ac:dyDescent="0.85">
      <c r="B927" s="24" t="s">
        <v>880</v>
      </c>
      <c r="C927" s="24"/>
      <c r="D927" s="31">
        <f>D928</f>
        <v>3080862</v>
      </c>
      <c r="E927" s="31">
        <f t="shared" ref="E927:AE927" si="202">E928</f>
        <v>0</v>
      </c>
      <c r="F927" s="31">
        <f t="shared" si="202"/>
        <v>0</v>
      </c>
      <c r="G927" s="31">
        <f t="shared" si="202"/>
        <v>0</v>
      </c>
      <c r="H927" s="31">
        <f t="shared" si="202"/>
        <v>0</v>
      </c>
      <c r="I927" s="31">
        <f t="shared" si="202"/>
        <v>0</v>
      </c>
      <c r="J927" s="31">
        <f t="shared" si="202"/>
        <v>0</v>
      </c>
      <c r="K927" s="33">
        <f t="shared" si="202"/>
        <v>0</v>
      </c>
      <c r="L927" s="31">
        <f t="shared" si="202"/>
        <v>0</v>
      </c>
      <c r="M927" s="31">
        <f t="shared" si="202"/>
        <v>590</v>
      </c>
      <c r="N927" s="31">
        <f t="shared" si="202"/>
        <v>2887548.77</v>
      </c>
      <c r="O927" s="31">
        <f t="shared" si="202"/>
        <v>0</v>
      </c>
      <c r="P927" s="31">
        <f t="shared" si="202"/>
        <v>0</v>
      </c>
      <c r="Q927" s="31">
        <f t="shared" si="202"/>
        <v>0</v>
      </c>
      <c r="R927" s="31">
        <f t="shared" si="202"/>
        <v>0</v>
      </c>
      <c r="S927" s="31">
        <f t="shared" si="202"/>
        <v>0</v>
      </c>
      <c r="T927" s="31">
        <f t="shared" si="202"/>
        <v>0</v>
      </c>
      <c r="U927" s="31">
        <f t="shared" si="202"/>
        <v>0</v>
      </c>
      <c r="V927" s="31">
        <f t="shared" si="202"/>
        <v>0</v>
      </c>
      <c r="W927" s="31">
        <f t="shared" si="202"/>
        <v>0</v>
      </c>
      <c r="X927" s="31">
        <f t="shared" si="202"/>
        <v>0</v>
      </c>
      <c r="Y927" s="31">
        <f t="shared" si="202"/>
        <v>0</v>
      </c>
      <c r="Z927" s="31">
        <f t="shared" si="202"/>
        <v>0</v>
      </c>
      <c r="AA927" s="31">
        <f t="shared" si="202"/>
        <v>0</v>
      </c>
      <c r="AB927" s="31">
        <f t="shared" si="202"/>
        <v>0</v>
      </c>
      <c r="AC927" s="31">
        <f t="shared" si="202"/>
        <v>43313.23</v>
      </c>
      <c r="AD927" s="31">
        <f t="shared" si="202"/>
        <v>150000</v>
      </c>
      <c r="AE927" s="31">
        <f t="shared" si="202"/>
        <v>0</v>
      </c>
      <c r="AF927" s="72" t="s">
        <v>776</v>
      </c>
      <c r="AG927" s="72" t="s">
        <v>776</v>
      </c>
      <c r="AH927" s="89" t="s">
        <v>776</v>
      </c>
      <c r="AT927" s="20" t="e">
        <f t="shared" si="200"/>
        <v>#N/A</v>
      </c>
      <c r="BZ927" s="71">
        <v>3080862</v>
      </c>
      <c r="CD927" s="20" t="e">
        <f t="shared" si="198"/>
        <v>#N/A</v>
      </c>
    </row>
    <row r="928" spans="1:82" ht="61.5" x14ac:dyDescent="0.85">
      <c r="A928" s="20">
        <v>1</v>
      </c>
      <c r="B928" s="66">
        <f>SUBTOTAL(103,$A$554:A928)</f>
        <v>327</v>
      </c>
      <c r="C928" s="24" t="s">
        <v>98</v>
      </c>
      <c r="D928" s="31">
        <f>E928+F928+G928+H928+I928+J928+L928+N928+P928+R928+T928+U928+V928+W928+X928+Y928+Z928+AA928+AB928+AC928+AD928+AE928</f>
        <v>3080862</v>
      </c>
      <c r="E928" s="31">
        <v>0</v>
      </c>
      <c r="F928" s="31">
        <v>0</v>
      </c>
      <c r="G928" s="31">
        <v>0</v>
      </c>
      <c r="H928" s="31">
        <v>0</v>
      </c>
      <c r="I928" s="31">
        <v>0</v>
      </c>
      <c r="J928" s="31">
        <v>0</v>
      </c>
      <c r="K928" s="33">
        <v>0</v>
      </c>
      <c r="L928" s="31">
        <v>0</v>
      </c>
      <c r="M928" s="31">
        <v>590</v>
      </c>
      <c r="N928" s="31">
        <v>2887548.77</v>
      </c>
      <c r="O928" s="31">
        <v>0</v>
      </c>
      <c r="P928" s="31">
        <v>0</v>
      </c>
      <c r="Q928" s="31">
        <v>0</v>
      </c>
      <c r="R928" s="31">
        <v>0</v>
      </c>
      <c r="S928" s="31">
        <v>0</v>
      </c>
      <c r="T928" s="31">
        <v>0</v>
      </c>
      <c r="U928" s="31">
        <v>0</v>
      </c>
      <c r="V928" s="31">
        <v>0</v>
      </c>
      <c r="W928" s="31">
        <v>0</v>
      </c>
      <c r="X928" s="31">
        <v>0</v>
      </c>
      <c r="Y928" s="31">
        <v>0</v>
      </c>
      <c r="Z928" s="31">
        <v>0</v>
      </c>
      <c r="AA928" s="31">
        <v>0</v>
      </c>
      <c r="AB928" s="31">
        <v>0</v>
      </c>
      <c r="AC928" s="31">
        <f>ROUND(N928*1.5%,2)</f>
        <v>43313.23</v>
      </c>
      <c r="AD928" s="31">
        <v>150000</v>
      </c>
      <c r="AE928" s="31">
        <v>0</v>
      </c>
      <c r="AF928" s="34">
        <v>2021</v>
      </c>
      <c r="AG928" s="34">
        <v>2021</v>
      </c>
      <c r="AH928" s="35">
        <v>2021</v>
      </c>
      <c r="AT928" s="20" t="e">
        <f t="shared" si="200"/>
        <v>#N/A</v>
      </c>
      <c r="BZ928" s="71"/>
      <c r="CD928" s="20" t="e">
        <f t="shared" si="198"/>
        <v>#N/A</v>
      </c>
    </row>
    <row r="929" spans="1:82" ht="61.5" x14ac:dyDescent="0.85">
      <c r="B929" s="24" t="s">
        <v>904</v>
      </c>
      <c r="C929" s="24"/>
      <c r="D929" s="31">
        <f>D930</f>
        <v>3655260</v>
      </c>
      <c r="E929" s="31">
        <f t="shared" ref="E929:AA929" si="203">E930</f>
        <v>0</v>
      </c>
      <c r="F929" s="31">
        <f t="shared" si="203"/>
        <v>0</v>
      </c>
      <c r="G929" s="31">
        <f t="shared" si="203"/>
        <v>0</v>
      </c>
      <c r="H929" s="31">
        <f t="shared" si="203"/>
        <v>0</v>
      </c>
      <c r="I929" s="31">
        <f t="shared" si="203"/>
        <v>0</v>
      </c>
      <c r="J929" s="31">
        <f t="shared" si="203"/>
        <v>0</v>
      </c>
      <c r="K929" s="33">
        <f t="shared" si="203"/>
        <v>0</v>
      </c>
      <c r="L929" s="31">
        <f t="shared" si="203"/>
        <v>0</v>
      </c>
      <c r="M929" s="31">
        <f t="shared" si="203"/>
        <v>700</v>
      </c>
      <c r="N929" s="31">
        <f t="shared" si="203"/>
        <v>3453458.13</v>
      </c>
      <c r="O929" s="31">
        <f t="shared" si="203"/>
        <v>0</v>
      </c>
      <c r="P929" s="31">
        <f t="shared" si="203"/>
        <v>0</v>
      </c>
      <c r="Q929" s="31">
        <f t="shared" si="203"/>
        <v>0</v>
      </c>
      <c r="R929" s="31">
        <f t="shared" si="203"/>
        <v>0</v>
      </c>
      <c r="S929" s="31">
        <f t="shared" si="203"/>
        <v>0</v>
      </c>
      <c r="T929" s="31">
        <f t="shared" si="203"/>
        <v>0</v>
      </c>
      <c r="U929" s="31">
        <f t="shared" si="203"/>
        <v>0</v>
      </c>
      <c r="V929" s="31">
        <f t="shared" si="203"/>
        <v>0</v>
      </c>
      <c r="W929" s="31">
        <f t="shared" si="203"/>
        <v>0</v>
      </c>
      <c r="X929" s="31">
        <f t="shared" si="203"/>
        <v>0</v>
      </c>
      <c r="Y929" s="31">
        <f t="shared" si="203"/>
        <v>0</v>
      </c>
      <c r="Z929" s="31">
        <f t="shared" si="203"/>
        <v>0</v>
      </c>
      <c r="AA929" s="31">
        <f t="shared" si="203"/>
        <v>0</v>
      </c>
      <c r="AB929" s="31">
        <f>AB930</f>
        <v>0</v>
      </c>
      <c r="AC929" s="31">
        <f>AC930</f>
        <v>51801.87</v>
      </c>
      <c r="AD929" s="31">
        <f>AD930</f>
        <v>150000</v>
      </c>
      <c r="AE929" s="31">
        <f>AE930</f>
        <v>0</v>
      </c>
      <c r="AF929" s="72" t="s">
        <v>776</v>
      </c>
      <c r="AG929" s="72" t="s">
        <v>776</v>
      </c>
      <c r="AH929" s="89" t="s">
        <v>776</v>
      </c>
      <c r="AT929" s="20" t="e">
        <f t="shared" si="200"/>
        <v>#N/A</v>
      </c>
      <c r="BZ929" s="71">
        <v>3655260</v>
      </c>
      <c r="CD929" s="20" t="e">
        <f t="shared" si="198"/>
        <v>#N/A</v>
      </c>
    </row>
    <row r="930" spans="1:82" ht="61.5" x14ac:dyDescent="0.85">
      <c r="A930" s="20">
        <v>1</v>
      </c>
      <c r="B930" s="66">
        <f>SUBTOTAL(103,$A$554:A930)</f>
        <v>328</v>
      </c>
      <c r="C930" s="24" t="s">
        <v>99</v>
      </c>
      <c r="D930" s="31">
        <f>E930+F930+G930+H930+I930+J930+L930+N930+P930+R930+T930+U930+V930+W930+X930+Y930+Z930+AA930+AB930+AC930+AD930+AE930</f>
        <v>3655260</v>
      </c>
      <c r="E930" s="31">
        <v>0</v>
      </c>
      <c r="F930" s="31">
        <v>0</v>
      </c>
      <c r="G930" s="31">
        <v>0</v>
      </c>
      <c r="H930" s="31">
        <v>0</v>
      </c>
      <c r="I930" s="31">
        <v>0</v>
      </c>
      <c r="J930" s="31">
        <v>0</v>
      </c>
      <c r="K930" s="33">
        <v>0</v>
      </c>
      <c r="L930" s="31">
        <v>0</v>
      </c>
      <c r="M930" s="31">
        <v>700</v>
      </c>
      <c r="N930" s="31">
        <v>3453458.13</v>
      </c>
      <c r="O930" s="31">
        <v>0</v>
      </c>
      <c r="P930" s="31">
        <v>0</v>
      </c>
      <c r="Q930" s="31">
        <v>0</v>
      </c>
      <c r="R930" s="31">
        <v>0</v>
      </c>
      <c r="S930" s="31">
        <v>0</v>
      </c>
      <c r="T930" s="31">
        <v>0</v>
      </c>
      <c r="U930" s="31">
        <v>0</v>
      </c>
      <c r="V930" s="31">
        <v>0</v>
      </c>
      <c r="W930" s="31">
        <v>0</v>
      </c>
      <c r="X930" s="31">
        <v>0</v>
      </c>
      <c r="Y930" s="31">
        <v>0</v>
      </c>
      <c r="Z930" s="31">
        <v>0</v>
      </c>
      <c r="AA930" s="31">
        <v>0</v>
      </c>
      <c r="AB930" s="31">
        <v>0</v>
      </c>
      <c r="AC930" s="31">
        <f>ROUND(N930*1.5%,2)</f>
        <v>51801.87</v>
      </c>
      <c r="AD930" s="31">
        <v>150000</v>
      </c>
      <c r="AE930" s="31">
        <v>0</v>
      </c>
      <c r="AF930" s="34">
        <v>2021</v>
      </c>
      <c r="AG930" s="34">
        <v>2021</v>
      </c>
      <c r="AH930" s="35">
        <v>2021</v>
      </c>
      <c r="AT930" s="20" t="e">
        <f t="shared" si="200"/>
        <v>#N/A</v>
      </c>
      <c r="BZ930" s="71"/>
      <c r="CD930" s="20" t="e">
        <f t="shared" si="198"/>
        <v>#N/A</v>
      </c>
    </row>
    <row r="931" spans="1:82" ht="61.5" x14ac:dyDescent="0.85">
      <c r="B931" s="24" t="s">
        <v>882</v>
      </c>
      <c r="C931" s="24"/>
      <c r="D931" s="31">
        <f>D932</f>
        <v>3080862</v>
      </c>
      <c r="E931" s="31">
        <f t="shared" ref="E931:AE931" si="204">E932</f>
        <v>0</v>
      </c>
      <c r="F931" s="31">
        <f t="shared" si="204"/>
        <v>0</v>
      </c>
      <c r="G931" s="31">
        <f t="shared" si="204"/>
        <v>0</v>
      </c>
      <c r="H931" s="31">
        <f t="shared" si="204"/>
        <v>0</v>
      </c>
      <c r="I931" s="31">
        <f t="shared" si="204"/>
        <v>0</v>
      </c>
      <c r="J931" s="31">
        <f t="shared" si="204"/>
        <v>0</v>
      </c>
      <c r="K931" s="33">
        <f t="shared" si="204"/>
        <v>0</v>
      </c>
      <c r="L931" s="31">
        <f t="shared" si="204"/>
        <v>0</v>
      </c>
      <c r="M931" s="31">
        <f t="shared" si="204"/>
        <v>590</v>
      </c>
      <c r="N931" s="31">
        <f t="shared" si="204"/>
        <v>2887548.77</v>
      </c>
      <c r="O931" s="31">
        <f t="shared" si="204"/>
        <v>0</v>
      </c>
      <c r="P931" s="31">
        <f t="shared" si="204"/>
        <v>0</v>
      </c>
      <c r="Q931" s="31">
        <f t="shared" si="204"/>
        <v>0</v>
      </c>
      <c r="R931" s="31">
        <f t="shared" si="204"/>
        <v>0</v>
      </c>
      <c r="S931" s="31">
        <f t="shared" si="204"/>
        <v>0</v>
      </c>
      <c r="T931" s="31">
        <f t="shared" si="204"/>
        <v>0</v>
      </c>
      <c r="U931" s="31">
        <f t="shared" si="204"/>
        <v>0</v>
      </c>
      <c r="V931" s="31">
        <f t="shared" si="204"/>
        <v>0</v>
      </c>
      <c r="W931" s="31">
        <f t="shared" si="204"/>
        <v>0</v>
      </c>
      <c r="X931" s="31">
        <f t="shared" si="204"/>
        <v>0</v>
      </c>
      <c r="Y931" s="31">
        <f t="shared" si="204"/>
        <v>0</v>
      </c>
      <c r="Z931" s="31">
        <f t="shared" si="204"/>
        <v>0</v>
      </c>
      <c r="AA931" s="31">
        <f t="shared" si="204"/>
        <v>0</v>
      </c>
      <c r="AB931" s="31">
        <f t="shared" si="204"/>
        <v>0</v>
      </c>
      <c r="AC931" s="31">
        <f t="shared" si="204"/>
        <v>43313.23</v>
      </c>
      <c r="AD931" s="31">
        <f t="shared" si="204"/>
        <v>150000</v>
      </c>
      <c r="AE931" s="31">
        <f t="shared" si="204"/>
        <v>0</v>
      </c>
      <c r="AF931" s="72" t="s">
        <v>776</v>
      </c>
      <c r="AG931" s="72" t="s">
        <v>776</v>
      </c>
      <c r="AH931" s="89" t="s">
        <v>776</v>
      </c>
      <c r="AT931" s="20" t="e">
        <f t="shared" si="200"/>
        <v>#N/A</v>
      </c>
      <c r="BZ931" s="71">
        <v>3080862</v>
      </c>
      <c r="CD931" s="20" t="e">
        <f t="shared" si="198"/>
        <v>#N/A</v>
      </c>
    </row>
    <row r="932" spans="1:82" ht="61.5" x14ac:dyDescent="0.85">
      <c r="A932" s="20">
        <v>1</v>
      </c>
      <c r="B932" s="66">
        <f>SUBTOTAL(103,$A$554:A932)</f>
        <v>329</v>
      </c>
      <c r="C932" s="24" t="s">
        <v>100</v>
      </c>
      <c r="D932" s="31">
        <f>E932+F932+G932+H932+I932+J932+L932+N932+P932+R932+T932+U932+V932+W932+X932+Y932+Z932+AA932+AB932+AC932+AD932+AE932</f>
        <v>3080862</v>
      </c>
      <c r="E932" s="31">
        <v>0</v>
      </c>
      <c r="F932" s="31">
        <v>0</v>
      </c>
      <c r="G932" s="31">
        <v>0</v>
      </c>
      <c r="H932" s="31">
        <v>0</v>
      </c>
      <c r="I932" s="31">
        <v>0</v>
      </c>
      <c r="J932" s="31">
        <v>0</v>
      </c>
      <c r="K932" s="33">
        <v>0</v>
      </c>
      <c r="L932" s="31">
        <v>0</v>
      </c>
      <c r="M932" s="31">
        <v>590</v>
      </c>
      <c r="N932" s="31">
        <v>2887548.77</v>
      </c>
      <c r="O932" s="31">
        <v>0</v>
      </c>
      <c r="P932" s="31">
        <v>0</v>
      </c>
      <c r="Q932" s="31">
        <v>0</v>
      </c>
      <c r="R932" s="31">
        <v>0</v>
      </c>
      <c r="S932" s="31">
        <v>0</v>
      </c>
      <c r="T932" s="31">
        <v>0</v>
      </c>
      <c r="U932" s="31">
        <v>0</v>
      </c>
      <c r="V932" s="31">
        <v>0</v>
      </c>
      <c r="W932" s="31">
        <v>0</v>
      </c>
      <c r="X932" s="31">
        <v>0</v>
      </c>
      <c r="Y932" s="31">
        <v>0</v>
      </c>
      <c r="Z932" s="31">
        <v>0</v>
      </c>
      <c r="AA932" s="31">
        <v>0</v>
      </c>
      <c r="AB932" s="31">
        <v>0</v>
      </c>
      <c r="AC932" s="31">
        <f>ROUND(N932*1.5%,2)</f>
        <v>43313.23</v>
      </c>
      <c r="AD932" s="31">
        <v>150000</v>
      </c>
      <c r="AE932" s="31">
        <v>0</v>
      </c>
      <c r="AF932" s="34">
        <v>2021</v>
      </c>
      <c r="AG932" s="34">
        <v>2021</v>
      </c>
      <c r="AH932" s="35">
        <v>2021</v>
      </c>
      <c r="AT932" s="20" t="e">
        <f t="shared" si="200"/>
        <v>#N/A</v>
      </c>
      <c r="BZ932" s="71"/>
      <c r="CD932" s="20" t="e">
        <f t="shared" si="198"/>
        <v>#N/A</v>
      </c>
    </row>
    <row r="933" spans="1:82" ht="61.5" x14ac:dyDescent="0.85">
      <c r="B933" s="24" t="s">
        <v>883</v>
      </c>
      <c r="C933" s="166"/>
      <c r="D933" s="31">
        <f>D934+D935+D936</f>
        <v>7774419.2400000002</v>
      </c>
      <c r="E933" s="31">
        <f t="shared" ref="E933:AE933" si="205">E934+E935+E936</f>
        <v>0</v>
      </c>
      <c r="F933" s="31">
        <f t="shared" si="205"/>
        <v>0</v>
      </c>
      <c r="G933" s="31">
        <f t="shared" si="205"/>
        <v>0</v>
      </c>
      <c r="H933" s="31">
        <f t="shared" si="205"/>
        <v>0</v>
      </c>
      <c r="I933" s="31">
        <f t="shared" si="205"/>
        <v>0</v>
      </c>
      <c r="J933" s="31">
        <f t="shared" si="205"/>
        <v>0</v>
      </c>
      <c r="K933" s="33">
        <f t="shared" si="205"/>
        <v>0</v>
      </c>
      <c r="L933" s="31">
        <f t="shared" si="205"/>
        <v>0</v>
      </c>
      <c r="M933" s="31">
        <f t="shared" si="205"/>
        <v>1206</v>
      </c>
      <c r="N933" s="31">
        <f t="shared" si="205"/>
        <v>5645911.3300000001</v>
      </c>
      <c r="O933" s="31">
        <f t="shared" si="205"/>
        <v>0</v>
      </c>
      <c r="P933" s="31">
        <f t="shared" si="205"/>
        <v>0</v>
      </c>
      <c r="Q933" s="31">
        <f t="shared" si="205"/>
        <v>531</v>
      </c>
      <c r="R933" s="31">
        <f t="shared" si="205"/>
        <v>1471743.09</v>
      </c>
      <c r="S933" s="31">
        <f t="shared" si="205"/>
        <v>0</v>
      </c>
      <c r="T933" s="31">
        <f t="shared" si="205"/>
        <v>0</v>
      </c>
      <c r="U933" s="31">
        <f t="shared" si="205"/>
        <v>0</v>
      </c>
      <c r="V933" s="31">
        <f t="shared" si="205"/>
        <v>0</v>
      </c>
      <c r="W933" s="31">
        <f t="shared" si="205"/>
        <v>0</v>
      </c>
      <c r="X933" s="31">
        <f t="shared" si="205"/>
        <v>0</v>
      </c>
      <c r="Y933" s="31">
        <f t="shared" si="205"/>
        <v>0</v>
      </c>
      <c r="Z933" s="31">
        <f t="shared" si="205"/>
        <v>0</v>
      </c>
      <c r="AA933" s="31">
        <f t="shared" si="205"/>
        <v>0</v>
      </c>
      <c r="AB933" s="31">
        <f t="shared" si="205"/>
        <v>0</v>
      </c>
      <c r="AC933" s="31">
        <f t="shared" si="205"/>
        <v>106764.82</v>
      </c>
      <c r="AD933" s="31">
        <f t="shared" si="205"/>
        <v>430000</v>
      </c>
      <c r="AE933" s="31">
        <f t="shared" si="205"/>
        <v>120000</v>
      </c>
      <c r="AF933" s="72" t="s">
        <v>776</v>
      </c>
      <c r="AG933" s="72" t="s">
        <v>776</v>
      </c>
      <c r="AH933" s="89" t="s">
        <v>776</v>
      </c>
      <c r="AT933" s="20" t="e">
        <f t="shared" si="200"/>
        <v>#N/A</v>
      </c>
      <c r="BZ933" s="71">
        <v>7774419.2400000002</v>
      </c>
      <c r="CD933" s="20" t="e">
        <f t="shared" si="198"/>
        <v>#N/A</v>
      </c>
    </row>
    <row r="934" spans="1:82" ht="61.5" x14ac:dyDescent="0.85">
      <c r="A934" s="20">
        <v>1</v>
      </c>
      <c r="B934" s="66">
        <f>SUBTOTAL(103,$A$554:A934)</f>
        <v>330</v>
      </c>
      <c r="C934" s="24" t="s">
        <v>193</v>
      </c>
      <c r="D934" s="31">
        <f>E934+F934+G934+H934+I934+J934+L934+N934+P934+R934+T934+U934+V934+W934+X934+Y934+Z934+AA934+AB934+AC934+AD934+AE934</f>
        <v>3549600</v>
      </c>
      <c r="E934" s="31">
        <v>0</v>
      </c>
      <c r="F934" s="31">
        <v>0</v>
      </c>
      <c r="G934" s="31">
        <v>0</v>
      </c>
      <c r="H934" s="31">
        <v>0</v>
      </c>
      <c r="I934" s="31">
        <v>0</v>
      </c>
      <c r="J934" s="31">
        <v>0</v>
      </c>
      <c r="K934" s="33">
        <v>0</v>
      </c>
      <c r="L934" s="31">
        <v>0</v>
      </c>
      <c r="M934" s="31">
        <v>696</v>
      </c>
      <c r="N934" s="31">
        <v>3349359.61</v>
      </c>
      <c r="O934" s="31">
        <v>0</v>
      </c>
      <c r="P934" s="31">
        <v>0</v>
      </c>
      <c r="Q934" s="31">
        <v>0</v>
      </c>
      <c r="R934" s="31">
        <v>0</v>
      </c>
      <c r="S934" s="31">
        <v>0</v>
      </c>
      <c r="T934" s="31">
        <v>0</v>
      </c>
      <c r="U934" s="31">
        <v>0</v>
      </c>
      <c r="V934" s="31">
        <v>0</v>
      </c>
      <c r="W934" s="31">
        <v>0</v>
      </c>
      <c r="X934" s="31">
        <v>0</v>
      </c>
      <c r="Y934" s="31">
        <v>0</v>
      </c>
      <c r="Z934" s="31">
        <v>0</v>
      </c>
      <c r="AA934" s="31">
        <v>0</v>
      </c>
      <c r="AB934" s="31">
        <v>0</v>
      </c>
      <c r="AC934" s="31">
        <f>ROUND(N934*1.5%,2)</f>
        <v>50240.39</v>
      </c>
      <c r="AD934" s="31">
        <v>150000</v>
      </c>
      <c r="AE934" s="31">
        <v>0</v>
      </c>
      <c r="AF934" s="34">
        <v>2021</v>
      </c>
      <c r="AG934" s="34">
        <v>2021</v>
      </c>
      <c r="AH934" s="35">
        <v>2021</v>
      </c>
      <c r="AT934" s="20" t="e">
        <f t="shared" si="200"/>
        <v>#N/A</v>
      </c>
      <c r="BZ934" s="71"/>
      <c r="CD934" s="20" t="e">
        <f t="shared" si="198"/>
        <v>#N/A</v>
      </c>
    </row>
    <row r="935" spans="1:82" ht="61.5" x14ac:dyDescent="0.85">
      <c r="A935" s="20">
        <v>1</v>
      </c>
      <c r="B935" s="66">
        <f>SUBTOTAL(103,$A$554:A935)</f>
        <v>331</v>
      </c>
      <c r="C935" s="24" t="s">
        <v>194</v>
      </c>
      <c r="D935" s="31">
        <f>E935+F935+G935+H935+I935+J935+L935+N935+P935+R935+T935+U935+V935+W935+X935+Y935+Z935+AA935+AB935+AC935+AD935+AE935</f>
        <v>2601000</v>
      </c>
      <c r="E935" s="31">
        <v>0</v>
      </c>
      <c r="F935" s="31">
        <v>0</v>
      </c>
      <c r="G935" s="31">
        <v>0</v>
      </c>
      <c r="H935" s="31">
        <v>0</v>
      </c>
      <c r="I935" s="31">
        <v>0</v>
      </c>
      <c r="J935" s="31">
        <v>0</v>
      </c>
      <c r="K935" s="33">
        <v>0</v>
      </c>
      <c r="L935" s="31">
        <v>0</v>
      </c>
      <c r="M935" s="31">
        <v>510</v>
      </c>
      <c r="N935" s="31">
        <f>2414778.33-118226.61</f>
        <v>2296551.7200000002</v>
      </c>
      <c r="O935" s="31">
        <v>0</v>
      </c>
      <c r="P935" s="31">
        <v>0</v>
      </c>
      <c r="Q935" s="31">
        <v>0</v>
      </c>
      <c r="R935" s="31">
        <v>0</v>
      </c>
      <c r="S935" s="31">
        <v>0</v>
      </c>
      <c r="T935" s="31">
        <v>0</v>
      </c>
      <c r="U935" s="31">
        <v>0</v>
      </c>
      <c r="V935" s="31">
        <v>0</v>
      </c>
      <c r="W935" s="31">
        <v>0</v>
      </c>
      <c r="X935" s="31">
        <v>0</v>
      </c>
      <c r="Y935" s="31">
        <v>0</v>
      </c>
      <c r="Z935" s="31">
        <v>0</v>
      </c>
      <c r="AA935" s="31">
        <v>0</v>
      </c>
      <c r="AB935" s="31">
        <v>0</v>
      </c>
      <c r="AC935" s="31">
        <f>ROUND(N935*1.5%,2)</f>
        <v>34448.28</v>
      </c>
      <c r="AD935" s="31">
        <v>150000</v>
      </c>
      <c r="AE935" s="31">
        <v>120000</v>
      </c>
      <c r="AF935" s="34">
        <v>2021</v>
      </c>
      <c r="AG935" s="34">
        <v>2021</v>
      </c>
      <c r="AH935" s="35">
        <v>2021</v>
      </c>
      <c r="AT935" s="20" t="e">
        <f t="shared" si="200"/>
        <v>#N/A</v>
      </c>
      <c r="BZ935" s="71"/>
      <c r="CD935" s="20" t="e">
        <f t="shared" si="198"/>
        <v>#N/A</v>
      </c>
    </row>
    <row r="936" spans="1:82" ht="61.5" x14ac:dyDescent="0.85">
      <c r="A936" s="20">
        <v>1</v>
      </c>
      <c r="B936" s="66">
        <f>SUBTOTAL(103,$A$554:A936)</f>
        <v>332</v>
      </c>
      <c r="C936" s="24" t="s">
        <v>195</v>
      </c>
      <c r="D936" s="31">
        <f>E936+F936+G936+H936+I936+J936+L936+N936+P936+R936+T936+U936+V936+W936+X936+Y936+Z936+AA936+AB936+AC936+AD936+AE936</f>
        <v>1623819.24</v>
      </c>
      <c r="E936" s="31">
        <v>0</v>
      </c>
      <c r="F936" s="31">
        <v>0</v>
      </c>
      <c r="G936" s="31">
        <v>0</v>
      </c>
      <c r="H936" s="31">
        <v>0</v>
      </c>
      <c r="I936" s="31">
        <v>0</v>
      </c>
      <c r="J936" s="31">
        <v>0</v>
      </c>
      <c r="K936" s="33">
        <v>0</v>
      </c>
      <c r="L936" s="31">
        <v>0</v>
      </c>
      <c r="M936" s="31">
        <v>0</v>
      </c>
      <c r="N936" s="31">
        <v>0</v>
      </c>
      <c r="O936" s="31">
        <v>0</v>
      </c>
      <c r="P936" s="31">
        <v>0</v>
      </c>
      <c r="Q936" s="31">
        <v>531</v>
      </c>
      <c r="R936" s="31">
        <v>1471743.09</v>
      </c>
      <c r="S936" s="31">
        <v>0</v>
      </c>
      <c r="T936" s="31">
        <v>0</v>
      </c>
      <c r="U936" s="31">
        <v>0</v>
      </c>
      <c r="V936" s="31">
        <v>0</v>
      </c>
      <c r="W936" s="31">
        <v>0</v>
      </c>
      <c r="X936" s="31">
        <v>0</v>
      </c>
      <c r="Y936" s="31">
        <v>0</v>
      </c>
      <c r="Z936" s="31">
        <v>0</v>
      </c>
      <c r="AA936" s="31">
        <v>0</v>
      </c>
      <c r="AB936" s="31">
        <v>0</v>
      </c>
      <c r="AC936" s="31">
        <f>ROUND(R936*1.5%,2)</f>
        <v>22076.15</v>
      </c>
      <c r="AD936" s="31">
        <v>130000</v>
      </c>
      <c r="AE936" s="31">
        <v>0</v>
      </c>
      <c r="AF936" s="34">
        <v>2021</v>
      </c>
      <c r="AG936" s="34">
        <v>2021</v>
      </c>
      <c r="AH936" s="35">
        <v>2021</v>
      </c>
      <c r="AT936" s="20" t="e">
        <f t="shared" si="200"/>
        <v>#N/A</v>
      </c>
      <c r="BZ936" s="71"/>
      <c r="CD936" s="20" t="e">
        <f t="shared" si="198"/>
        <v>#N/A</v>
      </c>
    </row>
    <row r="937" spans="1:82" ht="61.5" x14ac:dyDescent="0.85">
      <c r="B937" s="24" t="s">
        <v>885</v>
      </c>
      <c r="C937" s="24"/>
      <c r="D937" s="31">
        <f>D938</f>
        <v>4275483</v>
      </c>
      <c r="E937" s="31">
        <f t="shared" ref="E937:AE937" si="206">E938</f>
        <v>0</v>
      </c>
      <c r="F937" s="31">
        <f t="shared" si="206"/>
        <v>0</v>
      </c>
      <c r="G937" s="31">
        <f t="shared" si="206"/>
        <v>0</v>
      </c>
      <c r="H937" s="31">
        <f t="shared" si="206"/>
        <v>0</v>
      </c>
      <c r="I937" s="31">
        <f t="shared" si="206"/>
        <v>0</v>
      </c>
      <c r="J937" s="31">
        <f t="shared" si="206"/>
        <v>0</v>
      </c>
      <c r="K937" s="33">
        <f t="shared" si="206"/>
        <v>0</v>
      </c>
      <c r="L937" s="31">
        <f t="shared" si="206"/>
        <v>0</v>
      </c>
      <c r="M937" s="31">
        <f t="shared" si="206"/>
        <v>838.33</v>
      </c>
      <c r="N937" s="31">
        <f t="shared" si="206"/>
        <v>4064515.27</v>
      </c>
      <c r="O937" s="31">
        <f t="shared" si="206"/>
        <v>0</v>
      </c>
      <c r="P937" s="31">
        <f t="shared" si="206"/>
        <v>0</v>
      </c>
      <c r="Q937" s="31">
        <f t="shared" si="206"/>
        <v>0</v>
      </c>
      <c r="R937" s="31">
        <f t="shared" si="206"/>
        <v>0</v>
      </c>
      <c r="S937" s="31">
        <f t="shared" si="206"/>
        <v>0</v>
      </c>
      <c r="T937" s="31">
        <f t="shared" si="206"/>
        <v>0</v>
      </c>
      <c r="U937" s="31">
        <f t="shared" si="206"/>
        <v>0</v>
      </c>
      <c r="V937" s="31">
        <f t="shared" si="206"/>
        <v>0</v>
      </c>
      <c r="W937" s="31">
        <f t="shared" si="206"/>
        <v>0</v>
      </c>
      <c r="X937" s="31">
        <f t="shared" si="206"/>
        <v>0</v>
      </c>
      <c r="Y937" s="31">
        <f t="shared" si="206"/>
        <v>0</v>
      </c>
      <c r="Z937" s="31">
        <f t="shared" si="206"/>
        <v>0</v>
      </c>
      <c r="AA937" s="31">
        <f t="shared" si="206"/>
        <v>0</v>
      </c>
      <c r="AB937" s="31">
        <f t="shared" si="206"/>
        <v>0</v>
      </c>
      <c r="AC937" s="31">
        <f t="shared" si="206"/>
        <v>60967.73</v>
      </c>
      <c r="AD937" s="31">
        <f t="shared" si="206"/>
        <v>150000</v>
      </c>
      <c r="AE937" s="31">
        <f t="shared" si="206"/>
        <v>0</v>
      </c>
      <c r="AF937" s="72" t="s">
        <v>776</v>
      </c>
      <c r="AG937" s="72" t="s">
        <v>776</v>
      </c>
      <c r="AH937" s="89" t="s">
        <v>776</v>
      </c>
      <c r="AT937" s="20" t="e">
        <f t="shared" si="200"/>
        <v>#N/A</v>
      </c>
      <c r="BZ937" s="71">
        <v>4275483</v>
      </c>
      <c r="CD937" s="20" t="e">
        <f t="shared" si="198"/>
        <v>#N/A</v>
      </c>
    </row>
    <row r="938" spans="1:82" ht="61.5" x14ac:dyDescent="0.85">
      <c r="A938" s="20">
        <v>1</v>
      </c>
      <c r="B938" s="66">
        <f>SUBTOTAL(103,$A$554:A938)</f>
        <v>333</v>
      </c>
      <c r="C938" s="24" t="s">
        <v>197</v>
      </c>
      <c r="D938" s="31">
        <f>E938+F938+G938+H938+I938+J938+L938+N938+P938+R938+T938+U938+V938+W938+X938+Y938+Z938+AA938+AB938+AC938+AD938+AE938</f>
        <v>4275483</v>
      </c>
      <c r="E938" s="31">
        <v>0</v>
      </c>
      <c r="F938" s="31">
        <v>0</v>
      </c>
      <c r="G938" s="31">
        <v>0</v>
      </c>
      <c r="H938" s="31">
        <v>0</v>
      </c>
      <c r="I938" s="31">
        <v>0</v>
      </c>
      <c r="J938" s="31">
        <v>0</v>
      </c>
      <c r="K938" s="33">
        <v>0</v>
      </c>
      <c r="L938" s="31">
        <v>0</v>
      </c>
      <c r="M938" s="31">
        <v>838.33</v>
      </c>
      <c r="N938" s="31">
        <v>4064515.27</v>
      </c>
      <c r="O938" s="31">
        <v>0</v>
      </c>
      <c r="P938" s="31">
        <v>0</v>
      </c>
      <c r="Q938" s="31">
        <v>0</v>
      </c>
      <c r="R938" s="31">
        <v>0</v>
      </c>
      <c r="S938" s="31">
        <v>0</v>
      </c>
      <c r="T938" s="31">
        <v>0</v>
      </c>
      <c r="U938" s="31">
        <v>0</v>
      </c>
      <c r="V938" s="31">
        <v>0</v>
      </c>
      <c r="W938" s="31">
        <v>0</v>
      </c>
      <c r="X938" s="31">
        <v>0</v>
      </c>
      <c r="Y938" s="31">
        <v>0</v>
      </c>
      <c r="Z938" s="31">
        <v>0</v>
      </c>
      <c r="AA938" s="31">
        <v>0</v>
      </c>
      <c r="AB938" s="31">
        <v>0</v>
      </c>
      <c r="AC938" s="31">
        <f>ROUND(N938*1.5%,2)</f>
        <v>60967.73</v>
      </c>
      <c r="AD938" s="31">
        <v>150000</v>
      </c>
      <c r="AE938" s="31">
        <v>0</v>
      </c>
      <c r="AF938" s="34">
        <v>2021</v>
      </c>
      <c r="AG938" s="34">
        <v>2021</v>
      </c>
      <c r="AH938" s="35">
        <v>2021</v>
      </c>
      <c r="AT938" s="20" t="e">
        <f t="shared" si="200"/>
        <v>#N/A</v>
      </c>
      <c r="BZ938" s="71"/>
      <c r="CD938" s="20" t="e">
        <f t="shared" si="198"/>
        <v>#N/A</v>
      </c>
    </row>
    <row r="939" spans="1:82" ht="61.5" x14ac:dyDescent="0.85">
      <c r="B939" s="24" t="s">
        <v>887</v>
      </c>
      <c r="C939" s="166"/>
      <c r="D939" s="31">
        <f>D940+D941</f>
        <v>9113700</v>
      </c>
      <c r="E939" s="31">
        <f t="shared" ref="E939:AE939" si="207">E940+E941</f>
        <v>0</v>
      </c>
      <c r="F939" s="31">
        <f t="shared" si="207"/>
        <v>0</v>
      </c>
      <c r="G939" s="31">
        <f t="shared" si="207"/>
        <v>0</v>
      </c>
      <c r="H939" s="31">
        <f t="shared" si="207"/>
        <v>0</v>
      </c>
      <c r="I939" s="31">
        <f t="shared" si="207"/>
        <v>0</v>
      </c>
      <c r="J939" s="31">
        <f t="shared" si="207"/>
        <v>0</v>
      </c>
      <c r="K939" s="33">
        <f t="shared" si="207"/>
        <v>0</v>
      </c>
      <c r="L939" s="31">
        <f t="shared" si="207"/>
        <v>0</v>
      </c>
      <c r="M939" s="31">
        <f t="shared" si="207"/>
        <v>1787</v>
      </c>
      <c r="N939" s="31">
        <f t="shared" si="207"/>
        <v>8653891.629999999</v>
      </c>
      <c r="O939" s="31">
        <f t="shared" si="207"/>
        <v>0</v>
      </c>
      <c r="P939" s="31">
        <f t="shared" si="207"/>
        <v>0</v>
      </c>
      <c r="Q939" s="31">
        <f t="shared" si="207"/>
        <v>0</v>
      </c>
      <c r="R939" s="31">
        <f t="shared" si="207"/>
        <v>0</v>
      </c>
      <c r="S939" s="31">
        <f t="shared" si="207"/>
        <v>0</v>
      </c>
      <c r="T939" s="31">
        <f t="shared" si="207"/>
        <v>0</v>
      </c>
      <c r="U939" s="31">
        <f t="shared" si="207"/>
        <v>0</v>
      </c>
      <c r="V939" s="31">
        <f t="shared" si="207"/>
        <v>0</v>
      </c>
      <c r="W939" s="31">
        <f t="shared" si="207"/>
        <v>0</v>
      </c>
      <c r="X939" s="31">
        <f t="shared" si="207"/>
        <v>0</v>
      </c>
      <c r="Y939" s="31">
        <f t="shared" si="207"/>
        <v>0</v>
      </c>
      <c r="Z939" s="31">
        <f t="shared" si="207"/>
        <v>0</v>
      </c>
      <c r="AA939" s="31">
        <f t="shared" si="207"/>
        <v>0</v>
      </c>
      <c r="AB939" s="31">
        <f t="shared" si="207"/>
        <v>0</v>
      </c>
      <c r="AC939" s="31">
        <f t="shared" si="207"/>
        <v>129808.37</v>
      </c>
      <c r="AD939" s="31">
        <f t="shared" si="207"/>
        <v>330000</v>
      </c>
      <c r="AE939" s="31">
        <f t="shared" si="207"/>
        <v>0</v>
      </c>
      <c r="AF939" s="72" t="s">
        <v>776</v>
      </c>
      <c r="AG939" s="72" t="s">
        <v>776</v>
      </c>
      <c r="AH939" s="89" t="s">
        <v>776</v>
      </c>
      <c r="AT939" s="20" t="e">
        <f t="shared" si="200"/>
        <v>#N/A</v>
      </c>
      <c r="BZ939" s="71">
        <v>9113700</v>
      </c>
      <c r="CD939" s="20" t="e">
        <f t="shared" si="198"/>
        <v>#N/A</v>
      </c>
    </row>
    <row r="940" spans="1:82" ht="61.5" x14ac:dyDescent="0.85">
      <c r="A940" s="20">
        <v>1</v>
      </c>
      <c r="B940" s="66">
        <f>SUBTOTAL(103,$A$554:A940)</f>
        <v>334</v>
      </c>
      <c r="C940" s="24" t="s">
        <v>216</v>
      </c>
      <c r="D940" s="31">
        <f>E940+F940+G940+H940+I940+J940+L940+N940+P940+R940+T940+U940+V940+W940+X940+Y940+Z940+AA940+AB940+AC940+AD940+AE940</f>
        <v>6135300</v>
      </c>
      <c r="E940" s="31">
        <v>0</v>
      </c>
      <c r="F940" s="31">
        <v>0</v>
      </c>
      <c r="G940" s="31">
        <v>0</v>
      </c>
      <c r="H940" s="31">
        <v>0</v>
      </c>
      <c r="I940" s="31">
        <v>0</v>
      </c>
      <c r="J940" s="31">
        <v>0</v>
      </c>
      <c r="K940" s="33">
        <v>0</v>
      </c>
      <c r="L940" s="31">
        <v>0</v>
      </c>
      <c r="M940" s="31">
        <v>1203</v>
      </c>
      <c r="N940" s="31">
        <v>5867290.6399999997</v>
      </c>
      <c r="O940" s="31">
        <v>0</v>
      </c>
      <c r="P940" s="31">
        <v>0</v>
      </c>
      <c r="Q940" s="31">
        <v>0</v>
      </c>
      <c r="R940" s="31">
        <v>0</v>
      </c>
      <c r="S940" s="31">
        <v>0</v>
      </c>
      <c r="T940" s="31">
        <v>0</v>
      </c>
      <c r="U940" s="31">
        <v>0</v>
      </c>
      <c r="V940" s="31">
        <v>0</v>
      </c>
      <c r="W940" s="31">
        <v>0</v>
      </c>
      <c r="X940" s="31">
        <v>0</v>
      </c>
      <c r="Y940" s="31">
        <v>0</v>
      </c>
      <c r="Z940" s="31">
        <v>0</v>
      </c>
      <c r="AA940" s="31">
        <v>0</v>
      </c>
      <c r="AB940" s="31">
        <v>0</v>
      </c>
      <c r="AC940" s="31">
        <f>ROUND(N940*1.5%,2)</f>
        <v>88009.36</v>
      </c>
      <c r="AD940" s="31">
        <v>180000</v>
      </c>
      <c r="AE940" s="31">
        <v>0</v>
      </c>
      <c r="AF940" s="34">
        <v>2021</v>
      </c>
      <c r="AG940" s="34">
        <v>2021</v>
      </c>
      <c r="AH940" s="35">
        <v>2021</v>
      </c>
      <c r="AT940" s="20" t="e">
        <f t="shared" si="200"/>
        <v>#N/A</v>
      </c>
      <c r="BZ940" s="71"/>
      <c r="CD940" s="20" t="e">
        <f t="shared" si="198"/>
        <v>#N/A</v>
      </c>
    </row>
    <row r="941" spans="1:82" ht="61.5" x14ac:dyDescent="0.85">
      <c r="A941" s="20">
        <v>1</v>
      </c>
      <c r="B941" s="66">
        <f>SUBTOTAL(103,$A$554:A941)</f>
        <v>335</v>
      </c>
      <c r="C941" s="24" t="s">
        <v>217</v>
      </c>
      <c r="D941" s="31">
        <f>E941+F941+G941+H941+I941+J941+L941+N941+P941+R941+T941+U941+V941+W941+X941+Y941+Z941+AA941+AB941+AC941+AD941+AE941</f>
        <v>2978400</v>
      </c>
      <c r="E941" s="31">
        <v>0</v>
      </c>
      <c r="F941" s="31">
        <v>0</v>
      </c>
      <c r="G941" s="31">
        <v>0</v>
      </c>
      <c r="H941" s="31">
        <v>0</v>
      </c>
      <c r="I941" s="31">
        <v>0</v>
      </c>
      <c r="J941" s="31">
        <v>0</v>
      </c>
      <c r="K941" s="33">
        <v>0</v>
      </c>
      <c r="L941" s="31">
        <v>0</v>
      </c>
      <c r="M941" s="31">
        <v>584</v>
      </c>
      <c r="N941" s="31">
        <v>2786600.99</v>
      </c>
      <c r="O941" s="31">
        <v>0</v>
      </c>
      <c r="P941" s="31">
        <v>0</v>
      </c>
      <c r="Q941" s="31">
        <v>0</v>
      </c>
      <c r="R941" s="31">
        <v>0</v>
      </c>
      <c r="S941" s="31">
        <v>0</v>
      </c>
      <c r="T941" s="31">
        <v>0</v>
      </c>
      <c r="U941" s="31">
        <v>0</v>
      </c>
      <c r="V941" s="31">
        <v>0</v>
      </c>
      <c r="W941" s="31">
        <v>0</v>
      </c>
      <c r="X941" s="31">
        <v>0</v>
      </c>
      <c r="Y941" s="31">
        <v>0</v>
      </c>
      <c r="Z941" s="31">
        <v>0</v>
      </c>
      <c r="AA941" s="31">
        <v>0</v>
      </c>
      <c r="AB941" s="31">
        <v>0</v>
      </c>
      <c r="AC941" s="31">
        <f>ROUND(N941*1.5%,2)</f>
        <v>41799.01</v>
      </c>
      <c r="AD941" s="31">
        <v>150000</v>
      </c>
      <c r="AE941" s="31">
        <v>0</v>
      </c>
      <c r="AF941" s="34">
        <v>2021</v>
      </c>
      <c r="AG941" s="34">
        <v>2021</v>
      </c>
      <c r="AH941" s="35">
        <v>2021</v>
      </c>
      <c r="AT941" s="20" t="e">
        <f t="shared" si="200"/>
        <v>#N/A</v>
      </c>
      <c r="BZ941" s="71"/>
      <c r="CD941" s="20" t="e">
        <f t="shared" si="198"/>
        <v>#N/A</v>
      </c>
    </row>
    <row r="942" spans="1:82" ht="61.5" x14ac:dyDescent="0.85">
      <c r="B942" s="24" t="s">
        <v>888</v>
      </c>
      <c r="C942" s="24"/>
      <c r="D942" s="31">
        <f>D943</f>
        <v>3498600</v>
      </c>
      <c r="E942" s="31">
        <f t="shared" ref="E942:AE942" si="208">E943</f>
        <v>0</v>
      </c>
      <c r="F942" s="31">
        <f t="shared" si="208"/>
        <v>0</v>
      </c>
      <c r="G942" s="31">
        <f t="shared" si="208"/>
        <v>0</v>
      </c>
      <c r="H942" s="31">
        <f t="shared" si="208"/>
        <v>0</v>
      </c>
      <c r="I942" s="31">
        <f t="shared" si="208"/>
        <v>0</v>
      </c>
      <c r="J942" s="31">
        <f t="shared" si="208"/>
        <v>0</v>
      </c>
      <c r="K942" s="33">
        <f t="shared" si="208"/>
        <v>0</v>
      </c>
      <c r="L942" s="31">
        <f t="shared" si="208"/>
        <v>0</v>
      </c>
      <c r="M942" s="31">
        <f t="shared" si="208"/>
        <v>686</v>
      </c>
      <c r="N942" s="31">
        <f t="shared" si="208"/>
        <v>3299113.3</v>
      </c>
      <c r="O942" s="31">
        <f t="shared" si="208"/>
        <v>0</v>
      </c>
      <c r="P942" s="31">
        <f t="shared" si="208"/>
        <v>0</v>
      </c>
      <c r="Q942" s="31">
        <f t="shared" si="208"/>
        <v>0</v>
      </c>
      <c r="R942" s="31">
        <f t="shared" si="208"/>
        <v>0</v>
      </c>
      <c r="S942" s="31">
        <f t="shared" si="208"/>
        <v>0</v>
      </c>
      <c r="T942" s="31">
        <f t="shared" si="208"/>
        <v>0</v>
      </c>
      <c r="U942" s="31">
        <f t="shared" si="208"/>
        <v>0</v>
      </c>
      <c r="V942" s="31">
        <f t="shared" si="208"/>
        <v>0</v>
      </c>
      <c r="W942" s="31">
        <f t="shared" si="208"/>
        <v>0</v>
      </c>
      <c r="X942" s="31">
        <f t="shared" si="208"/>
        <v>0</v>
      </c>
      <c r="Y942" s="31">
        <f t="shared" si="208"/>
        <v>0</v>
      </c>
      <c r="Z942" s="31">
        <f t="shared" si="208"/>
        <v>0</v>
      </c>
      <c r="AA942" s="31">
        <f t="shared" si="208"/>
        <v>0</v>
      </c>
      <c r="AB942" s="31">
        <f t="shared" si="208"/>
        <v>0</v>
      </c>
      <c r="AC942" s="31">
        <f t="shared" si="208"/>
        <v>49486.7</v>
      </c>
      <c r="AD942" s="31">
        <f t="shared" si="208"/>
        <v>150000</v>
      </c>
      <c r="AE942" s="31">
        <f t="shared" si="208"/>
        <v>0</v>
      </c>
      <c r="AF942" s="72" t="s">
        <v>776</v>
      </c>
      <c r="AG942" s="72" t="s">
        <v>776</v>
      </c>
      <c r="AH942" s="89" t="s">
        <v>776</v>
      </c>
      <c r="AT942" s="20" t="e">
        <f t="shared" si="200"/>
        <v>#N/A</v>
      </c>
      <c r="BZ942" s="71">
        <v>3498600</v>
      </c>
      <c r="CD942" s="20" t="e">
        <f t="shared" si="198"/>
        <v>#N/A</v>
      </c>
    </row>
    <row r="943" spans="1:82" ht="61.5" x14ac:dyDescent="0.85">
      <c r="A943" s="20">
        <v>1</v>
      </c>
      <c r="B943" s="66">
        <f>SUBTOTAL(103,$A$554:A943)</f>
        <v>336</v>
      </c>
      <c r="C943" s="24" t="s">
        <v>229</v>
      </c>
      <c r="D943" s="31">
        <f>E943+F943+G943+H943+I943+J943+L943+N943+P943+R943+T943+U943+V943+W943+X943+Y943+Z943+AA943+AB943+AC943+AD943+AE943</f>
        <v>3498600</v>
      </c>
      <c r="E943" s="31">
        <v>0</v>
      </c>
      <c r="F943" s="31">
        <v>0</v>
      </c>
      <c r="G943" s="31">
        <v>0</v>
      </c>
      <c r="H943" s="31">
        <v>0</v>
      </c>
      <c r="I943" s="31">
        <v>0</v>
      </c>
      <c r="J943" s="31">
        <v>0</v>
      </c>
      <c r="K943" s="33">
        <v>0</v>
      </c>
      <c r="L943" s="31">
        <v>0</v>
      </c>
      <c r="M943" s="31">
        <v>686</v>
      </c>
      <c r="N943" s="31">
        <v>3299113.3</v>
      </c>
      <c r="O943" s="31">
        <v>0</v>
      </c>
      <c r="P943" s="31">
        <v>0</v>
      </c>
      <c r="Q943" s="31">
        <v>0</v>
      </c>
      <c r="R943" s="31">
        <v>0</v>
      </c>
      <c r="S943" s="31">
        <v>0</v>
      </c>
      <c r="T943" s="31">
        <v>0</v>
      </c>
      <c r="U943" s="31">
        <v>0</v>
      </c>
      <c r="V943" s="31">
        <v>0</v>
      </c>
      <c r="W943" s="31">
        <v>0</v>
      </c>
      <c r="X943" s="31">
        <v>0</v>
      </c>
      <c r="Y943" s="31">
        <v>0</v>
      </c>
      <c r="Z943" s="31">
        <v>0</v>
      </c>
      <c r="AA943" s="31">
        <v>0</v>
      </c>
      <c r="AB943" s="31">
        <v>0</v>
      </c>
      <c r="AC943" s="31">
        <f>ROUND(N943*1.5%,2)</f>
        <v>49486.7</v>
      </c>
      <c r="AD943" s="31">
        <v>150000</v>
      </c>
      <c r="AE943" s="31">
        <v>0</v>
      </c>
      <c r="AF943" s="34">
        <v>2021</v>
      </c>
      <c r="AG943" s="34">
        <v>2021</v>
      </c>
      <c r="AH943" s="35">
        <v>2021</v>
      </c>
      <c r="AT943" s="20" t="e">
        <f t="shared" si="200"/>
        <v>#N/A</v>
      </c>
      <c r="BZ943" s="71"/>
      <c r="CD943" s="20" t="e">
        <f t="shared" si="198"/>
        <v>#N/A</v>
      </c>
    </row>
    <row r="944" spans="1:82" ht="61.5" x14ac:dyDescent="0.85">
      <c r="B944" s="24" t="s">
        <v>890</v>
      </c>
      <c r="C944" s="24"/>
      <c r="D944" s="31">
        <f>D945</f>
        <v>3230340</v>
      </c>
      <c r="E944" s="31">
        <f t="shared" ref="E944:AE944" si="209">E945</f>
        <v>0</v>
      </c>
      <c r="F944" s="31">
        <f t="shared" si="209"/>
        <v>0</v>
      </c>
      <c r="G944" s="31">
        <f t="shared" si="209"/>
        <v>0</v>
      </c>
      <c r="H944" s="31">
        <f t="shared" si="209"/>
        <v>0</v>
      </c>
      <c r="I944" s="31">
        <f t="shared" si="209"/>
        <v>0</v>
      </c>
      <c r="J944" s="31">
        <f t="shared" si="209"/>
        <v>0</v>
      </c>
      <c r="K944" s="33">
        <f t="shared" si="209"/>
        <v>0</v>
      </c>
      <c r="L944" s="31">
        <f t="shared" si="209"/>
        <v>0</v>
      </c>
      <c r="M944" s="31">
        <f t="shared" si="209"/>
        <v>633.4</v>
      </c>
      <c r="N944" s="31">
        <f t="shared" si="209"/>
        <v>3034817.73</v>
      </c>
      <c r="O944" s="31">
        <f t="shared" si="209"/>
        <v>0</v>
      </c>
      <c r="P944" s="31">
        <f t="shared" si="209"/>
        <v>0</v>
      </c>
      <c r="Q944" s="31">
        <f t="shared" si="209"/>
        <v>0</v>
      </c>
      <c r="R944" s="31">
        <f t="shared" si="209"/>
        <v>0</v>
      </c>
      <c r="S944" s="31">
        <f t="shared" si="209"/>
        <v>0</v>
      </c>
      <c r="T944" s="31">
        <f t="shared" si="209"/>
        <v>0</v>
      </c>
      <c r="U944" s="31">
        <f t="shared" si="209"/>
        <v>0</v>
      </c>
      <c r="V944" s="31">
        <f t="shared" si="209"/>
        <v>0</v>
      </c>
      <c r="W944" s="31">
        <f t="shared" si="209"/>
        <v>0</v>
      </c>
      <c r="X944" s="31">
        <f t="shared" si="209"/>
        <v>0</v>
      </c>
      <c r="Y944" s="31">
        <f t="shared" si="209"/>
        <v>0</v>
      </c>
      <c r="Z944" s="31">
        <f t="shared" si="209"/>
        <v>0</v>
      </c>
      <c r="AA944" s="31">
        <f t="shared" si="209"/>
        <v>0</v>
      </c>
      <c r="AB944" s="31">
        <f t="shared" si="209"/>
        <v>0</v>
      </c>
      <c r="AC944" s="31">
        <f t="shared" si="209"/>
        <v>45522.27</v>
      </c>
      <c r="AD944" s="31">
        <f t="shared" si="209"/>
        <v>150000</v>
      </c>
      <c r="AE944" s="31">
        <f t="shared" si="209"/>
        <v>0</v>
      </c>
      <c r="AF944" s="72" t="s">
        <v>776</v>
      </c>
      <c r="AG944" s="72" t="s">
        <v>776</v>
      </c>
      <c r="AH944" s="89" t="s">
        <v>776</v>
      </c>
      <c r="AT944" s="20" t="e">
        <f t="shared" si="200"/>
        <v>#N/A</v>
      </c>
      <c r="BZ944" s="71">
        <v>3230340</v>
      </c>
      <c r="CD944" s="20" t="e">
        <f t="shared" si="198"/>
        <v>#N/A</v>
      </c>
    </row>
    <row r="945" spans="1:82" ht="61.5" x14ac:dyDescent="0.85">
      <c r="A945" s="20">
        <v>1</v>
      </c>
      <c r="B945" s="66">
        <f>SUBTOTAL(103,$A$554:A945)</f>
        <v>337</v>
      </c>
      <c r="C945" s="24" t="s">
        <v>223</v>
      </c>
      <c r="D945" s="31">
        <f>E945+F945+G945+H945+I945+J945+L945+N945+P945+R945+T945+U945+V945+W945+X945+Y945+Z945+AA945+AB945+AC945+AD945+AE945</f>
        <v>3230340</v>
      </c>
      <c r="E945" s="31">
        <v>0</v>
      </c>
      <c r="F945" s="31">
        <v>0</v>
      </c>
      <c r="G945" s="31">
        <v>0</v>
      </c>
      <c r="H945" s="31">
        <v>0</v>
      </c>
      <c r="I945" s="31">
        <v>0</v>
      </c>
      <c r="J945" s="31">
        <v>0</v>
      </c>
      <c r="K945" s="33">
        <v>0</v>
      </c>
      <c r="L945" s="31">
        <v>0</v>
      </c>
      <c r="M945" s="31">
        <v>633.4</v>
      </c>
      <c r="N945" s="31">
        <v>3034817.73</v>
      </c>
      <c r="O945" s="31">
        <v>0</v>
      </c>
      <c r="P945" s="31">
        <v>0</v>
      </c>
      <c r="Q945" s="31">
        <v>0</v>
      </c>
      <c r="R945" s="31">
        <v>0</v>
      </c>
      <c r="S945" s="31">
        <v>0</v>
      </c>
      <c r="T945" s="31">
        <v>0</v>
      </c>
      <c r="U945" s="31">
        <v>0</v>
      </c>
      <c r="V945" s="31">
        <v>0</v>
      </c>
      <c r="W945" s="31">
        <v>0</v>
      </c>
      <c r="X945" s="31">
        <v>0</v>
      </c>
      <c r="Y945" s="31">
        <v>0</v>
      </c>
      <c r="Z945" s="31">
        <v>0</v>
      </c>
      <c r="AA945" s="31">
        <v>0</v>
      </c>
      <c r="AB945" s="31">
        <v>0</v>
      </c>
      <c r="AC945" s="31">
        <f>ROUND(N945*1.5%,2)</f>
        <v>45522.27</v>
      </c>
      <c r="AD945" s="31">
        <v>150000</v>
      </c>
      <c r="AE945" s="31">
        <v>0</v>
      </c>
      <c r="AF945" s="34">
        <v>2021</v>
      </c>
      <c r="AG945" s="34">
        <v>2021</v>
      </c>
      <c r="AH945" s="35">
        <v>2021</v>
      </c>
      <c r="AT945" s="20" t="e">
        <f t="shared" si="200"/>
        <v>#N/A</v>
      </c>
      <c r="BZ945" s="71"/>
      <c r="CD945" s="20" t="e">
        <f t="shared" si="198"/>
        <v>#N/A</v>
      </c>
    </row>
    <row r="946" spans="1:82" ht="61.5" x14ac:dyDescent="0.85">
      <c r="B946" s="24" t="s">
        <v>780</v>
      </c>
      <c r="C946" s="162"/>
      <c r="D946" s="31">
        <f t="shared" ref="D946:AE946" si="210">D947+D1007+D1022+D1050+D1062+D1065+D1074+D1078+D1081+D1084+D1086+D1088+D1091+D1093+D1095+D1103+D1106+D1108+D1110+D1112+D1114+D1117+D1119+D1121+D1123+D1130+D1133+D1137+D1140+D1142+D1146+D1148+D1150+D1152+D1154+D1156+D1158+D1162+D1164+D1166+D1168+D1172+D1174+D1176+D1178+D1181+D1184+D1188+D1193+D1196+D1198+D1200+D1203+D1207+D1209+D1211+D1213+D1217</f>
        <v>791169161.75000012</v>
      </c>
      <c r="E946" s="31">
        <f t="shared" si="210"/>
        <v>1015422.23</v>
      </c>
      <c r="F946" s="31">
        <f t="shared" si="210"/>
        <v>2254171.34</v>
      </c>
      <c r="G946" s="31">
        <f t="shared" si="210"/>
        <v>7536629.54</v>
      </c>
      <c r="H946" s="31">
        <f t="shared" si="210"/>
        <v>2087824.54</v>
      </c>
      <c r="I946" s="31">
        <f t="shared" si="210"/>
        <v>6237173.6699999999</v>
      </c>
      <c r="J946" s="31">
        <f t="shared" si="210"/>
        <v>0</v>
      </c>
      <c r="K946" s="33">
        <f t="shared" si="210"/>
        <v>18</v>
      </c>
      <c r="L946" s="31">
        <f t="shared" si="210"/>
        <v>38462224.730000004</v>
      </c>
      <c r="M946" s="31">
        <f t="shared" si="210"/>
        <v>135219.41569241002</v>
      </c>
      <c r="N946" s="31">
        <f t="shared" si="210"/>
        <v>629816086.43999982</v>
      </c>
      <c r="O946" s="31">
        <f t="shared" si="210"/>
        <v>146</v>
      </c>
      <c r="P946" s="31">
        <f t="shared" si="210"/>
        <v>365939.61</v>
      </c>
      <c r="Q946" s="31">
        <f t="shared" si="210"/>
        <v>18006.22</v>
      </c>
      <c r="R946" s="31">
        <f t="shared" si="210"/>
        <v>57642519.809999987</v>
      </c>
      <c r="S946" s="31">
        <f t="shared" si="210"/>
        <v>425.77</v>
      </c>
      <c r="T946" s="31">
        <f t="shared" si="210"/>
        <v>14228739.940000001</v>
      </c>
      <c r="U946" s="31">
        <f t="shared" si="210"/>
        <v>2812475.02</v>
      </c>
      <c r="V946" s="31">
        <f t="shared" si="210"/>
        <v>0</v>
      </c>
      <c r="W946" s="31">
        <f t="shared" si="210"/>
        <v>0</v>
      </c>
      <c r="X946" s="31">
        <f t="shared" si="210"/>
        <v>0</v>
      </c>
      <c r="Y946" s="31">
        <f t="shared" si="210"/>
        <v>0</v>
      </c>
      <c r="Z946" s="31">
        <f t="shared" si="210"/>
        <v>0</v>
      </c>
      <c r="AA946" s="31">
        <f t="shared" si="210"/>
        <v>0</v>
      </c>
      <c r="AB946" s="31">
        <f t="shared" si="210"/>
        <v>0</v>
      </c>
      <c r="AC946" s="31">
        <f t="shared" si="210"/>
        <v>10859954.879999999</v>
      </c>
      <c r="AD946" s="31">
        <f t="shared" si="210"/>
        <v>17490000</v>
      </c>
      <c r="AE946" s="31">
        <f t="shared" si="210"/>
        <v>360000</v>
      </c>
      <c r="AF946" s="72" t="s">
        <v>776</v>
      </c>
      <c r="AG946" s="72" t="s">
        <v>776</v>
      </c>
      <c r="AH946" s="89" t="s">
        <v>776</v>
      </c>
      <c r="AT946" s="20" t="e">
        <f t="shared" si="200"/>
        <v>#N/A</v>
      </c>
      <c r="BZ946" s="71">
        <v>791169161.6500001</v>
      </c>
    </row>
    <row r="947" spans="1:82" ht="61.5" x14ac:dyDescent="0.85">
      <c r="B947" s="24" t="s">
        <v>1119</v>
      </c>
      <c r="C947" s="166"/>
      <c r="D947" s="31">
        <f>SUM(D948:D1006)</f>
        <v>216853215.43000004</v>
      </c>
      <c r="E947" s="31">
        <f t="shared" ref="E947:AE947" si="211">SUM(E948:E1006)</f>
        <v>0</v>
      </c>
      <c r="F947" s="31">
        <f t="shared" si="211"/>
        <v>0</v>
      </c>
      <c r="G947" s="31">
        <f t="shared" si="211"/>
        <v>0</v>
      </c>
      <c r="H947" s="31">
        <f t="shared" si="211"/>
        <v>0</v>
      </c>
      <c r="I947" s="31">
        <f t="shared" si="211"/>
        <v>0</v>
      </c>
      <c r="J947" s="31">
        <f t="shared" si="211"/>
        <v>0</v>
      </c>
      <c r="K947" s="33">
        <f t="shared" si="211"/>
        <v>5</v>
      </c>
      <c r="L947" s="31">
        <f t="shared" si="211"/>
        <v>10649559.609999999</v>
      </c>
      <c r="M947" s="31">
        <f t="shared" si="211"/>
        <v>43382.850000000006</v>
      </c>
      <c r="N947" s="31">
        <f t="shared" si="211"/>
        <v>193319684.55999994</v>
      </c>
      <c r="O947" s="31">
        <f t="shared" si="211"/>
        <v>0</v>
      </c>
      <c r="P947" s="31">
        <f t="shared" si="211"/>
        <v>0</v>
      </c>
      <c r="Q947" s="31">
        <f t="shared" si="211"/>
        <v>2961</v>
      </c>
      <c r="R947" s="31">
        <f t="shared" si="211"/>
        <v>9836626.4299999997</v>
      </c>
      <c r="S947" s="31">
        <f t="shared" si="211"/>
        <v>0</v>
      </c>
      <c r="T947" s="31">
        <f t="shared" si="211"/>
        <v>0</v>
      </c>
      <c r="U947" s="31">
        <f t="shared" si="211"/>
        <v>0</v>
      </c>
      <c r="V947" s="31">
        <f t="shared" si="211"/>
        <v>0</v>
      </c>
      <c r="W947" s="31">
        <f t="shared" si="211"/>
        <v>0</v>
      </c>
      <c r="X947" s="31">
        <f t="shared" si="211"/>
        <v>0</v>
      </c>
      <c r="Y947" s="31">
        <f t="shared" si="211"/>
        <v>0</v>
      </c>
      <c r="Z947" s="31">
        <f t="shared" si="211"/>
        <v>0</v>
      </c>
      <c r="AA947" s="31">
        <f t="shared" si="211"/>
        <v>0</v>
      </c>
      <c r="AB947" s="31">
        <f t="shared" si="211"/>
        <v>0</v>
      </c>
      <c r="AC947" s="31">
        <f t="shared" si="211"/>
        <v>3047344.8299999991</v>
      </c>
      <c r="AD947" s="31">
        <f t="shared" si="211"/>
        <v>0</v>
      </c>
      <c r="AE947" s="31">
        <f t="shared" si="211"/>
        <v>0</v>
      </c>
      <c r="AF947" s="72" t="s">
        <v>776</v>
      </c>
      <c r="AG947" s="72" t="s">
        <v>776</v>
      </c>
      <c r="AH947" s="89" t="s">
        <v>776</v>
      </c>
      <c r="AT947" s="20" t="e">
        <f t="shared" si="200"/>
        <v>#N/A</v>
      </c>
      <c r="BZ947" s="71">
        <v>216853215.33000001</v>
      </c>
    </row>
    <row r="948" spans="1:82" ht="61.5" x14ac:dyDescent="0.85">
      <c r="A948" s="20">
        <v>1</v>
      </c>
      <c r="B948" s="66">
        <f>SUBTOTAL(103,$A$948:A948)</f>
        <v>1</v>
      </c>
      <c r="C948" s="24" t="s">
        <v>580</v>
      </c>
      <c r="D948" s="31">
        <f t="shared" ref="D948:D1006" si="212">E948+F948+G948+H948+I948+J948+L948+N948+P948+R948+T948+U948+V948+W948+X948+Y948+Z948+AA948+AB948+AC948+AD948+AE948</f>
        <v>3147713.25</v>
      </c>
      <c r="E948" s="31">
        <v>0</v>
      </c>
      <c r="F948" s="31">
        <v>0</v>
      </c>
      <c r="G948" s="31">
        <v>0</v>
      </c>
      <c r="H948" s="31">
        <v>0</v>
      </c>
      <c r="I948" s="31">
        <v>0</v>
      </c>
      <c r="J948" s="31">
        <v>0</v>
      </c>
      <c r="K948" s="33">
        <v>0</v>
      </c>
      <c r="L948" s="31">
        <v>0</v>
      </c>
      <c r="M948" s="31">
        <v>736</v>
      </c>
      <c r="N948" s="31">
        <v>3101195.32</v>
      </c>
      <c r="O948" s="31">
        <v>0</v>
      </c>
      <c r="P948" s="31">
        <v>0</v>
      </c>
      <c r="Q948" s="31">
        <v>0</v>
      </c>
      <c r="R948" s="31">
        <v>0</v>
      </c>
      <c r="S948" s="31">
        <v>0</v>
      </c>
      <c r="T948" s="31">
        <v>0</v>
      </c>
      <c r="U948" s="31">
        <v>0</v>
      </c>
      <c r="V948" s="31">
        <v>0</v>
      </c>
      <c r="W948" s="31">
        <v>0</v>
      </c>
      <c r="X948" s="31">
        <v>0</v>
      </c>
      <c r="Y948" s="31">
        <v>0</v>
      </c>
      <c r="Z948" s="31">
        <v>0</v>
      </c>
      <c r="AA948" s="31">
        <v>0</v>
      </c>
      <c r="AB948" s="31">
        <v>0</v>
      </c>
      <c r="AC948" s="31">
        <v>46517.93</v>
      </c>
      <c r="AD948" s="31">
        <v>0</v>
      </c>
      <c r="AE948" s="31">
        <v>0</v>
      </c>
      <c r="AF948" s="34" t="s">
        <v>274</v>
      </c>
      <c r="AG948" s="34">
        <v>2022</v>
      </c>
      <c r="AH948" s="35">
        <v>2022</v>
      </c>
      <c r="AT948" s="20" t="e">
        <f t="shared" si="200"/>
        <v>#N/A</v>
      </c>
      <c r="BZ948" s="71"/>
    </row>
    <row r="949" spans="1:82" ht="61.5" x14ac:dyDescent="0.85">
      <c r="A949" s="20">
        <v>1</v>
      </c>
      <c r="B949" s="66">
        <f>SUBTOTAL(103,$A$948:A949)</f>
        <v>2</v>
      </c>
      <c r="C949" s="24" t="s">
        <v>581</v>
      </c>
      <c r="D949" s="31">
        <f t="shared" si="212"/>
        <v>1023224.5700000001</v>
      </c>
      <c r="E949" s="31">
        <v>0</v>
      </c>
      <c r="F949" s="31">
        <v>0</v>
      </c>
      <c r="G949" s="31">
        <v>0</v>
      </c>
      <c r="H949" s="31">
        <v>0</v>
      </c>
      <c r="I949" s="31">
        <v>0</v>
      </c>
      <c r="J949" s="31">
        <v>0</v>
      </c>
      <c r="K949" s="33">
        <v>0</v>
      </c>
      <c r="L949" s="31">
        <v>0</v>
      </c>
      <c r="M949" s="31">
        <v>230</v>
      </c>
      <c r="N949" s="31">
        <v>1008103.02</v>
      </c>
      <c r="O949" s="31">
        <v>0</v>
      </c>
      <c r="P949" s="31">
        <v>0</v>
      </c>
      <c r="Q949" s="31">
        <v>0</v>
      </c>
      <c r="R949" s="31">
        <v>0</v>
      </c>
      <c r="S949" s="31">
        <v>0</v>
      </c>
      <c r="T949" s="31">
        <v>0</v>
      </c>
      <c r="U949" s="31">
        <v>0</v>
      </c>
      <c r="V949" s="31">
        <v>0</v>
      </c>
      <c r="W949" s="31">
        <v>0</v>
      </c>
      <c r="X949" s="31">
        <v>0</v>
      </c>
      <c r="Y949" s="31">
        <v>0</v>
      </c>
      <c r="Z949" s="31">
        <v>0</v>
      </c>
      <c r="AA949" s="31">
        <v>0</v>
      </c>
      <c r="AB949" s="31">
        <v>0</v>
      </c>
      <c r="AC949" s="31">
        <v>15121.55</v>
      </c>
      <c r="AD949" s="31">
        <v>0</v>
      </c>
      <c r="AE949" s="31">
        <v>0</v>
      </c>
      <c r="AF949" s="34" t="s">
        <v>274</v>
      </c>
      <c r="AG949" s="34">
        <v>2022</v>
      </c>
      <c r="AH949" s="35">
        <v>2022</v>
      </c>
      <c r="AT949" s="20" t="e">
        <f t="shared" si="200"/>
        <v>#N/A</v>
      </c>
      <c r="BZ949" s="71"/>
    </row>
    <row r="950" spans="1:82" ht="61.5" x14ac:dyDescent="0.85">
      <c r="A950" s="20">
        <v>1</v>
      </c>
      <c r="B950" s="66">
        <f>SUBTOTAL(103,$A$948:A950)</f>
        <v>3</v>
      </c>
      <c r="C950" s="24" t="s">
        <v>1096</v>
      </c>
      <c r="D950" s="31">
        <f t="shared" si="212"/>
        <v>2100000</v>
      </c>
      <c r="E950" s="31">
        <v>0</v>
      </c>
      <c r="F950" s="31">
        <v>0</v>
      </c>
      <c r="G950" s="31">
        <v>0</v>
      </c>
      <c r="H950" s="31">
        <v>0</v>
      </c>
      <c r="I950" s="31">
        <v>0</v>
      </c>
      <c r="J950" s="31">
        <v>0</v>
      </c>
      <c r="K950" s="33">
        <v>0</v>
      </c>
      <c r="L950" s="31">
        <v>0</v>
      </c>
      <c r="M950" s="31">
        <v>412</v>
      </c>
      <c r="N950" s="31">
        <v>2068965.52</v>
      </c>
      <c r="O950" s="31">
        <v>0</v>
      </c>
      <c r="P950" s="31">
        <v>0</v>
      </c>
      <c r="Q950" s="31">
        <v>0</v>
      </c>
      <c r="R950" s="31">
        <v>0</v>
      </c>
      <c r="S950" s="31">
        <v>0</v>
      </c>
      <c r="T950" s="31">
        <v>0</v>
      </c>
      <c r="U950" s="31">
        <v>0</v>
      </c>
      <c r="V950" s="31">
        <v>0</v>
      </c>
      <c r="W950" s="31">
        <v>0</v>
      </c>
      <c r="X950" s="31">
        <v>0</v>
      </c>
      <c r="Y950" s="31">
        <v>0</v>
      </c>
      <c r="Z950" s="31">
        <v>0</v>
      </c>
      <c r="AA950" s="31">
        <v>0</v>
      </c>
      <c r="AB950" s="31">
        <v>0</v>
      </c>
      <c r="AC950" s="31">
        <v>31034.48</v>
      </c>
      <c r="AD950" s="31">
        <v>0</v>
      </c>
      <c r="AE950" s="31">
        <v>0</v>
      </c>
      <c r="AF950" s="34" t="s">
        <v>274</v>
      </c>
      <c r="AG950" s="34">
        <v>2022</v>
      </c>
      <c r="AH950" s="35">
        <v>2022</v>
      </c>
      <c r="AT950" s="20" t="e">
        <f t="shared" si="200"/>
        <v>#N/A</v>
      </c>
      <c r="BZ950" s="71"/>
    </row>
    <row r="951" spans="1:82" ht="61.5" x14ac:dyDescent="0.85">
      <c r="A951" s="20">
        <v>1</v>
      </c>
      <c r="B951" s="66">
        <f>SUBTOTAL(103,$A$948:A951)</f>
        <v>4</v>
      </c>
      <c r="C951" s="24" t="s">
        <v>582</v>
      </c>
      <c r="D951" s="31">
        <f t="shared" si="212"/>
        <v>3183875.94</v>
      </c>
      <c r="E951" s="31">
        <v>0</v>
      </c>
      <c r="F951" s="31">
        <v>0</v>
      </c>
      <c r="G951" s="31">
        <v>0</v>
      </c>
      <c r="H951" s="31">
        <v>0</v>
      </c>
      <c r="I951" s="31">
        <v>0</v>
      </c>
      <c r="J951" s="31">
        <v>0</v>
      </c>
      <c r="K951" s="33">
        <v>0</v>
      </c>
      <c r="L951" s="31">
        <v>0</v>
      </c>
      <c r="M951" s="31">
        <v>722</v>
      </c>
      <c r="N951" s="31">
        <v>3136823.59</v>
      </c>
      <c r="O951" s="31">
        <v>0</v>
      </c>
      <c r="P951" s="31">
        <v>0</v>
      </c>
      <c r="Q951" s="31">
        <v>0</v>
      </c>
      <c r="R951" s="31">
        <v>0</v>
      </c>
      <c r="S951" s="31">
        <v>0</v>
      </c>
      <c r="T951" s="31">
        <v>0</v>
      </c>
      <c r="U951" s="31">
        <v>0</v>
      </c>
      <c r="V951" s="31">
        <v>0</v>
      </c>
      <c r="W951" s="31">
        <v>0</v>
      </c>
      <c r="X951" s="31">
        <v>0</v>
      </c>
      <c r="Y951" s="31">
        <v>0</v>
      </c>
      <c r="Z951" s="31">
        <v>0</v>
      </c>
      <c r="AA951" s="31">
        <v>0</v>
      </c>
      <c r="AB951" s="31">
        <v>0</v>
      </c>
      <c r="AC951" s="31">
        <v>47052.35</v>
      </c>
      <c r="AD951" s="31">
        <v>0</v>
      </c>
      <c r="AE951" s="31">
        <v>0</v>
      </c>
      <c r="AF951" s="34" t="s">
        <v>274</v>
      </c>
      <c r="AG951" s="34">
        <v>2022</v>
      </c>
      <c r="AH951" s="35">
        <v>2022</v>
      </c>
      <c r="AT951" s="20" t="e">
        <f t="shared" si="200"/>
        <v>#N/A</v>
      </c>
      <c r="BZ951" s="71"/>
    </row>
    <row r="952" spans="1:82" ht="61.5" x14ac:dyDescent="0.85">
      <c r="A952" s="20">
        <v>1</v>
      </c>
      <c r="B952" s="66">
        <f>SUBTOTAL(103,$A$948:A952)</f>
        <v>5</v>
      </c>
      <c r="C952" s="24" t="s">
        <v>583</v>
      </c>
      <c r="D952" s="31">
        <f t="shared" si="212"/>
        <v>1598353.21</v>
      </c>
      <c r="E952" s="31">
        <v>0</v>
      </c>
      <c r="F952" s="31">
        <v>0</v>
      </c>
      <c r="G952" s="31">
        <v>0</v>
      </c>
      <c r="H952" s="31">
        <v>0</v>
      </c>
      <c r="I952" s="31">
        <v>0</v>
      </c>
      <c r="J952" s="31">
        <v>0</v>
      </c>
      <c r="K952" s="33">
        <v>0</v>
      </c>
      <c r="L952" s="31">
        <v>0</v>
      </c>
      <c r="M952" s="31">
        <v>351</v>
      </c>
      <c r="N952" s="31">
        <v>1574732.23</v>
      </c>
      <c r="O952" s="31">
        <v>0</v>
      </c>
      <c r="P952" s="31">
        <v>0</v>
      </c>
      <c r="Q952" s="31">
        <v>0</v>
      </c>
      <c r="R952" s="31">
        <v>0</v>
      </c>
      <c r="S952" s="31">
        <v>0</v>
      </c>
      <c r="T952" s="31">
        <v>0</v>
      </c>
      <c r="U952" s="31">
        <v>0</v>
      </c>
      <c r="V952" s="31">
        <v>0</v>
      </c>
      <c r="W952" s="31">
        <v>0</v>
      </c>
      <c r="X952" s="31">
        <v>0</v>
      </c>
      <c r="Y952" s="31">
        <v>0</v>
      </c>
      <c r="Z952" s="31">
        <v>0</v>
      </c>
      <c r="AA952" s="31">
        <v>0</v>
      </c>
      <c r="AB952" s="31">
        <v>0</v>
      </c>
      <c r="AC952" s="31">
        <v>23620.98</v>
      </c>
      <c r="AD952" s="31">
        <v>0</v>
      </c>
      <c r="AE952" s="31">
        <v>0</v>
      </c>
      <c r="AF952" s="34" t="s">
        <v>274</v>
      </c>
      <c r="AG952" s="34">
        <v>2022</v>
      </c>
      <c r="AH952" s="35">
        <v>2022</v>
      </c>
      <c r="AT952" s="20" t="e">
        <f t="shared" si="200"/>
        <v>#N/A</v>
      </c>
      <c r="BZ952" s="71"/>
    </row>
    <row r="953" spans="1:82" ht="61.5" x14ac:dyDescent="0.85">
      <c r="A953" s="20">
        <v>1</v>
      </c>
      <c r="B953" s="66">
        <f>SUBTOTAL(103,$A$948:A953)</f>
        <v>6</v>
      </c>
      <c r="C953" s="24" t="s">
        <v>584</v>
      </c>
      <c r="D953" s="31">
        <f t="shared" si="212"/>
        <v>5391207.6599999992</v>
      </c>
      <c r="E953" s="31">
        <v>0</v>
      </c>
      <c r="F953" s="31">
        <v>0</v>
      </c>
      <c r="G953" s="31">
        <v>0</v>
      </c>
      <c r="H953" s="31">
        <v>0</v>
      </c>
      <c r="I953" s="31">
        <v>0</v>
      </c>
      <c r="J953" s="31">
        <v>0</v>
      </c>
      <c r="K953" s="33">
        <v>0</v>
      </c>
      <c r="L953" s="31">
        <v>0</v>
      </c>
      <c r="M953" s="31">
        <v>1200</v>
      </c>
      <c r="N953" s="31">
        <v>5311534.6399999997</v>
      </c>
      <c r="O953" s="31">
        <v>0</v>
      </c>
      <c r="P953" s="31">
        <v>0</v>
      </c>
      <c r="Q953" s="31">
        <v>0</v>
      </c>
      <c r="R953" s="31">
        <v>0</v>
      </c>
      <c r="S953" s="31">
        <v>0</v>
      </c>
      <c r="T953" s="31">
        <v>0</v>
      </c>
      <c r="U953" s="31">
        <v>0</v>
      </c>
      <c r="V953" s="31">
        <v>0</v>
      </c>
      <c r="W953" s="31">
        <v>0</v>
      </c>
      <c r="X953" s="31">
        <v>0</v>
      </c>
      <c r="Y953" s="31">
        <v>0</v>
      </c>
      <c r="Z953" s="31">
        <v>0</v>
      </c>
      <c r="AA953" s="31">
        <v>0</v>
      </c>
      <c r="AB953" s="31">
        <v>0</v>
      </c>
      <c r="AC953" s="31">
        <v>79673.02</v>
      </c>
      <c r="AD953" s="31">
        <v>0</v>
      </c>
      <c r="AE953" s="31">
        <v>0</v>
      </c>
      <c r="AF953" s="34" t="s">
        <v>274</v>
      </c>
      <c r="AG953" s="34">
        <v>2022</v>
      </c>
      <c r="AH953" s="35">
        <v>2022</v>
      </c>
      <c r="AT953" s="20" t="e">
        <f t="shared" si="200"/>
        <v>#N/A</v>
      </c>
      <c r="BZ953" s="71"/>
    </row>
    <row r="954" spans="1:82" ht="61.5" x14ac:dyDescent="0.85">
      <c r="A954" s="20">
        <v>1</v>
      </c>
      <c r="B954" s="66">
        <f>SUBTOTAL(103,$A$948:A954)</f>
        <v>7</v>
      </c>
      <c r="C954" s="24" t="s">
        <v>585</v>
      </c>
      <c r="D954" s="31">
        <f t="shared" si="212"/>
        <v>1896320.0799999998</v>
      </c>
      <c r="E954" s="31">
        <v>0</v>
      </c>
      <c r="F954" s="31">
        <v>0</v>
      </c>
      <c r="G954" s="31">
        <v>0</v>
      </c>
      <c r="H954" s="31">
        <v>0</v>
      </c>
      <c r="I954" s="31">
        <v>0</v>
      </c>
      <c r="J954" s="31">
        <v>0</v>
      </c>
      <c r="K954" s="33">
        <v>0</v>
      </c>
      <c r="L954" s="31">
        <v>0</v>
      </c>
      <c r="M954" s="31">
        <v>420</v>
      </c>
      <c r="N954" s="31">
        <v>1868295.65</v>
      </c>
      <c r="O954" s="31">
        <v>0</v>
      </c>
      <c r="P954" s="31">
        <v>0</v>
      </c>
      <c r="Q954" s="31">
        <v>0</v>
      </c>
      <c r="R954" s="31">
        <v>0</v>
      </c>
      <c r="S954" s="31">
        <v>0</v>
      </c>
      <c r="T954" s="31">
        <v>0</v>
      </c>
      <c r="U954" s="31">
        <v>0</v>
      </c>
      <c r="V954" s="31">
        <v>0</v>
      </c>
      <c r="W954" s="31">
        <v>0</v>
      </c>
      <c r="X954" s="31">
        <v>0</v>
      </c>
      <c r="Y954" s="31">
        <v>0</v>
      </c>
      <c r="Z954" s="31">
        <v>0</v>
      </c>
      <c r="AA954" s="31">
        <v>0</v>
      </c>
      <c r="AB954" s="31">
        <v>0</v>
      </c>
      <c r="AC954" s="31">
        <v>28024.43</v>
      </c>
      <c r="AD954" s="31">
        <v>0</v>
      </c>
      <c r="AE954" s="31">
        <v>0</v>
      </c>
      <c r="AF954" s="34" t="s">
        <v>274</v>
      </c>
      <c r="AG954" s="34">
        <v>2022</v>
      </c>
      <c r="AH954" s="35">
        <v>2022</v>
      </c>
      <c r="AT954" s="20" t="e">
        <f t="shared" si="200"/>
        <v>#N/A</v>
      </c>
      <c r="BZ954" s="71"/>
    </row>
    <row r="955" spans="1:82" ht="61.5" x14ac:dyDescent="0.85">
      <c r="A955" s="20">
        <v>1</v>
      </c>
      <c r="B955" s="66">
        <f>SUBTOTAL(103,$A$948:A955)</f>
        <v>8</v>
      </c>
      <c r="C955" s="24" t="s">
        <v>586</v>
      </c>
      <c r="D955" s="31">
        <f t="shared" si="212"/>
        <v>2718609.5</v>
      </c>
      <c r="E955" s="31">
        <v>0</v>
      </c>
      <c r="F955" s="31">
        <v>0</v>
      </c>
      <c r="G955" s="31">
        <v>0</v>
      </c>
      <c r="H955" s="31">
        <v>0</v>
      </c>
      <c r="I955" s="31">
        <v>0</v>
      </c>
      <c r="J955" s="31">
        <v>0</v>
      </c>
      <c r="K955" s="33">
        <v>0</v>
      </c>
      <c r="L955" s="31">
        <v>0</v>
      </c>
      <c r="M955" s="31">
        <v>593</v>
      </c>
      <c r="N955" s="31">
        <v>2678433</v>
      </c>
      <c r="O955" s="31">
        <v>0</v>
      </c>
      <c r="P955" s="31">
        <v>0</v>
      </c>
      <c r="Q955" s="31">
        <v>0</v>
      </c>
      <c r="R955" s="31">
        <v>0</v>
      </c>
      <c r="S955" s="31">
        <v>0</v>
      </c>
      <c r="T955" s="31">
        <v>0</v>
      </c>
      <c r="U955" s="31">
        <v>0</v>
      </c>
      <c r="V955" s="31">
        <v>0</v>
      </c>
      <c r="W955" s="31">
        <v>0</v>
      </c>
      <c r="X955" s="31">
        <v>0</v>
      </c>
      <c r="Y955" s="31">
        <v>0</v>
      </c>
      <c r="Z955" s="31">
        <v>0</v>
      </c>
      <c r="AA955" s="31">
        <v>0</v>
      </c>
      <c r="AB955" s="31">
        <v>0</v>
      </c>
      <c r="AC955" s="31">
        <v>40176.5</v>
      </c>
      <c r="AD955" s="31">
        <v>0</v>
      </c>
      <c r="AE955" s="31">
        <v>0</v>
      </c>
      <c r="AF955" s="34" t="s">
        <v>274</v>
      </c>
      <c r="AG955" s="34">
        <v>2022</v>
      </c>
      <c r="AH955" s="35">
        <v>2022</v>
      </c>
      <c r="AT955" s="20" t="e">
        <f t="shared" si="200"/>
        <v>#N/A</v>
      </c>
      <c r="BZ955" s="71"/>
    </row>
    <row r="956" spans="1:82" ht="61.5" x14ac:dyDescent="0.85">
      <c r="A956" s="20">
        <v>1</v>
      </c>
      <c r="B956" s="66">
        <f>SUBTOTAL(103,$A$948:A956)</f>
        <v>9</v>
      </c>
      <c r="C956" s="24" t="s">
        <v>1682</v>
      </c>
      <c r="D956" s="31">
        <f t="shared" si="212"/>
        <v>2863861.07</v>
      </c>
      <c r="E956" s="31">
        <v>0</v>
      </c>
      <c r="F956" s="31">
        <v>0</v>
      </c>
      <c r="G956" s="31">
        <v>0</v>
      </c>
      <c r="H956" s="31">
        <v>0</v>
      </c>
      <c r="I956" s="31">
        <v>0</v>
      </c>
      <c r="J956" s="31">
        <v>0</v>
      </c>
      <c r="K956" s="33">
        <v>0</v>
      </c>
      <c r="L956" s="31">
        <v>0</v>
      </c>
      <c r="M956" s="31">
        <v>559</v>
      </c>
      <c r="N956" s="31">
        <v>2821538</v>
      </c>
      <c r="O956" s="31">
        <v>0</v>
      </c>
      <c r="P956" s="31">
        <v>0</v>
      </c>
      <c r="Q956" s="31">
        <v>0</v>
      </c>
      <c r="R956" s="31">
        <v>0</v>
      </c>
      <c r="S956" s="31">
        <v>0</v>
      </c>
      <c r="T956" s="31">
        <v>0</v>
      </c>
      <c r="U956" s="31">
        <v>0</v>
      </c>
      <c r="V956" s="31">
        <v>0</v>
      </c>
      <c r="W956" s="31">
        <v>0</v>
      </c>
      <c r="X956" s="31">
        <v>0</v>
      </c>
      <c r="Y956" s="31">
        <v>0</v>
      </c>
      <c r="Z956" s="31">
        <v>0</v>
      </c>
      <c r="AA956" s="31">
        <v>0</v>
      </c>
      <c r="AB956" s="31">
        <v>0</v>
      </c>
      <c r="AC956" s="31">
        <v>42323.07</v>
      </c>
      <c r="AD956" s="31">
        <v>0</v>
      </c>
      <c r="AE956" s="31">
        <v>0</v>
      </c>
      <c r="AF956" s="34" t="s">
        <v>274</v>
      </c>
      <c r="AG956" s="34">
        <v>2022</v>
      </c>
      <c r="AH956" s="35">
        <v>2022</v>
      </c>
      <c r="BZ956" s="71"/>
    </row>
    <row r="957" spans="1:82" ht="61.5" x14ac:dyDescent="0.85">
      <c r="A957" s="20">
        <v>1</v>
      </c>
      <c r="B957" s="66">
        <f>SUBTOTAL(103,$A$948:A957)</f>
        <v>10</v>
      </c>
      <c r="C957" s="24" t="s">
        <v>587</v>
      </c>
      <c r="D957" s="31">
        <f t="shared" si="212"/>
        <v>3653990.26</v>
      </c>
      <c r="E957" s="31">
        <v>0</v>
      </c>
      <c r="F957" s="31">
        <v>0</v>
      </c>
      <c r="G957" s="31">
        <v>0</v>
      </c>
      <c r="H957" s="31">
        <v>0</v>
      </c>
      <c r="I957" s="31">
        <v>0</v>
      </c>
      <c r="J957" s="31">
        <v>0</v>
      </c>
      <c r="K957" s="33">
        <v>0</v>
      </c>
      <c r="L957" s="31">
        <v>0</v>
      </c>
      <c r="M957" s="31">
        <v>794</v>
      </c>
      <c r="N957" s="31">
        <v>3599990.4</v>
      </c>
      <c r="O957" s="31">
        <v>0</v>
      </c>
      <c r="P957" s="31">
        <v>0</v>
      </c>
      <c r="Q957" s="31">
        <v>0</v>
      </c>
      <c r="R957" s="31">
        <v>0</v>
      </c>
      <c r="S957" s="31">
        <v>0</v>
      </c>
      <c r="T957" s="31">
        <v>0</v>
      </c>
      <c r="U957" s="31">
        <v>0</v>
      </c>
      <c r="V957" s="31">
        <v>0</v>
      </c>
      <c r="W957" s="31">
        <v>0</v>
      </c>
      <c r="X957" s="31">
        <v>0</v>
      </c>
      <c r="Y957" s="31">
        <v>0</v>
      </c>
      <c r="Z957" s="31">
        <v>0</v>
      </c>
      <c r="AA957" s="31">
        <v>0</v>
      </c>
      <c r="AB957" s="31">
        <v>0</v>
      </c>
      <c r="AC957" s="31">
        <v>53999.86</v>
      </c>
      <c r="AD957" s="31">
        <v>0</v>
      </c>
      <c r="AE957" s="31">
        <v>0</v>
      </c>
      <c r="AF957" s="34" t="s">
        <v>274</v>
      </c>
      <c r="AG957" s="34">
        <v>2022</v>
      </c>
      <c r="AH957" s="35">
        <v>2022</v>
      </c>
      <c r="AT957" s="20" t="e">
        <f>VLOOKUP(C957,AW:AX,2,FALSE)</f>
        <v>#N/A</v>
      </c>
      <c r="BZ957" s="71"/>
    </row>
    <row r="958" spans="1:82" ht="61.5" x14ac:dyDescent="0.85">
      <c r="A958" s="20">
        <v>1</v>
      </c>
      <c r="B958" s="66">
        <f>SUBTOTAL(103,$A$948:A958)</f>
        <v>11</v>
      </c>
      <c r="C958" s="24" t="s">
        <v>1683</v>
      </c>
      <c r="D958" s="31">
        <f t="shared" si="212"/>
        <v>5582500</v>
      </c>
      <c r="E958" s="31">
        <v>0</v>
      </c>
      <c r="F958" s="31">
        <v>0</v>
      </c>
      <c r="G958" s="31">
        <v>0</v>
      </c>
      <c r="H958" s="31">
        <v>0</v>
      </c>
      <c r="I958" s="31">
        <v>0</v>
      </c>
      <c r="J958" s="31">
        <v>0</v>
      </c>
      <c r="K958" s="33">
        <v>0</v>
      </c>
      <c r="L958" s="31">
        <v>0</v>
      </c>
      <c r="M958" s="31">
        <v>1338</v>
      </c>
      <c r="N958" s="31">
        <v>5500000</v>
      </c>
      <c r="O958" s="31">
        <v>0</v>
      </c>
      <c r="P958" s="31">
        <v>0</v>
      </c>
      <c r="Q958" s="31">
        <v>0</v>
      </c>
      <c r="R958" s="31">
        <v>0</v>
      </c>
      <c r="S958" s="31">
        <v>0</v>
      </c>
      <c r="T958" s="31">
        <v>0</v>
      </c>
      <c r="U958" s="31">
        <v>0</v>
      </c>
      <c r="V958" s="31">
        <v>0</v>
      </c>
      <c r="W958" s="31">
        <v>0</v>
      </c>
      <c r="X958" s="31">
        <v>0</v>
      </c>
      <c r="Y958" s="31">
        <v>0</v>
      </c>
      <c r="Z958" s="31">
        <v>0</v>
      </c>
      <c r="AA958" s="31">
        <v>0</v>
      </c>
      <c r="AB958" s="31">
        <v>0</v>
      </c>
      <c r="AC958" s="31">
        <v>82500</v>
      </c>
      <c r="AD958" s="31">
        <v>0</v>
      </c>
      <c r="AE958" s="31">
        <v>0</v>
      </c>
      <c r="AF958" s="34" t="s">
        <v>274</v>
      </c>
      <c r="AG958" s="34">
        <v>2022</v>
      </c>
      <c r="AH958" s="35">
        <v>2022</v>
      </c>
      <c r="BZ958" s="71"/>
    </row>
    <row r="959" spans="1:82" ht="61.5" x14ac:dyDescent="0.85">
      <c r="A959" s="20">
        <v>1</v>
      </c>
      <c r="B959" s="66">
        <f>SUBTOTAL(103,$A$948:A959)</f>
        <v>12</v>
      </c>
      <c r="C959" s="24" t="s">
        <v>588</v>
      </c>
      <c r="D959" s="31">
        <f t="shared" si="212"/>
        <v>3493332.35</v>
      </c>
      <c r="E959" s="31">
        <v>0</v>
      </c>
      <c r="F959" s="31">
        <v>0</v>
      </c>
      <c r="G959" s="31">
        <v>0</v>
      </c>
      <c r="H959" s="31">
        <v>0</v>
      </c>
      <c r="I959" s="31">
        <v>0</v>
      </c>
      <c r="J959" s="31">
        <v>0</v>
      </c>
      <c r="K959" s="33">
        <v>0</v>
      </c>
      <c r="L959" s="31">
        <v>0</v>
      </c>
      <c r="M959" s="31">
        <v>760.2</v>
      </c>
      <c r="N959" s="31">
        <v>3441706.75</v>
      </c>
      <c r="O959" s="31">
        <v>0</v>
      </c>
      <c r="P959" s="31">
        <v>0</v>
      </c>
      <c r="Q959" s="31">
        <v>0</v>
      </c>
      <c r="R959" s="31">
        <v>0</v>
      </c>
      <c r="S959" s="31">
        <v>0</v>
      </c>
      <c r="T959" s="31">
        <v>0</v>
      </c>
      <c r="U959" s="31">
        <v>0</v>
      </c>
      <c r="V959" s="31">
        <v>0</v>
      </c>
      <c r="W959" s="31">
        <v>0</v>
      </c>
      <c r="X959" s="31">
        <v>0</v>
      </c>
      <c r="Y959" s="31">
        <v>0</v>
      </c>
      <c r="Z959" s="31">
        <v>0</v>
      </c>
      <c r="AA959" s="31">
        <v>0</v>
      </c>
      <c r="AB959" s="31">
        <v>0</v>
      </c>
      <c r="AC959" s="31">
        <v>51625.599999999999</v>
      </c>
      <c r="AD959" s="31">
        <v>0</v>
      </c>
      <c r="AE959" s="31">
        <v>0</v>
      </c>
      <c r="AF959" s="34" t="s">
        <v>274</v>
      </c>
      <c r="AG959" s="34">
        <v>2022</v>
      </c>
      <c r="AH959" s="35">
        <v>2022</v>
      </c>
      <c r="AT959" s="20" t="e">
        <f>VLOOKUP(C959,AW:AX,2,FALSE)</f>
        <v>#N/A</v>
      </c>
      <c r="BZ959" s="71"/>
    </row>
    <row r="960" spans="1:82" ht="61.5" x14ac:dyDescent="0.85">
      <c r="A960" s="20">
        <v>1</v>
      </c>
      <c r="B960" s="66">
        <f>SUBTOTAL(103,$A$948:A960)</f>
        <v>13</v>
      </c>
      <c r="C960" s="24" t="s">
        <v>589</v>
      </c>
      <c r="D960" s="31">
        <f t="shared" si="212"/>
        <v>5751539.1200000001</v>
      </c>
      <c r="E960" s="31">
        <v>0</v>
      </c>
      <c r="F960" s="31">
        <v>0</v>
      </c>
      <c r="G960" s="31">
        <v>0</v>
      </c>
      <c r="H960" s="31">
        <v>0</v>
      </c>
      <c r="I960" s="31">
        <v>0</v>
      </c>
      <c r="J960" s="31">
        <v>0</v>
      </c>
      <c r="K960" s="33">
        <v>0</v>
      </c>
      <c r="L960" s="31">
        <v>0</v>
      </c>
      <c r="M960" s="31">
        <v>1260.4000000000001</v>
      </c>
      <c r="N960" s="31">
        <v>5666541</v>
      </c>
      <c r="O960" s="31">
        <v>0</v>
      </c>
      <c r="P960" s="31">
        <v>0</v>
      </c>
      <c r="Q960" s="31">
        <v>0</v>
      </c>
      <c r="R960" s="31">
        <v>0</v>
      </c>
      <c r="S960" s="31">
        <v>0</v>
      </c>
      <c r="T960" s="31">
        <v>0</v>
      </c>
      <c r="U960" s="31">
        <v>0</v>
      </c>
      <c r="V960" s="31">
        <v>0</v>
      </c>
      <c r="W960" s="31">
        <v>0</v>
      </c>
      <c r="X960" s="31">
        <v>0</v>
      </c>
      <c r="Y960" s="31">
        <v>0</v>
      </c>
      <c r="Z960" s="31">
        <v>0</v>
      </c>
      <c r="AA960" s="31">
        <v>0</v>
      </c>
      <c r="AB960" s="31">
        <v>0</v>
      </c>
      <c r="AC960" s="31">
        <v>84998.12</v>
      </c>
      <c r="AD960" s="31">
        <v>0</v>
      </c>
      <c r="AE960" s="31">
        <v>0</v>
      </c>
      <c r="AF960" s="34" t="s">
        <v>274</v>
      </c>
      <c r="AG960" s="34">
        <v>2022</v>
      </c>
      <c r="AH960" s="35">
        <v>2022</v>
      </c>
      <c r="AT960" s="20" t="e">
        <f>VLOOKUP(C960,AW:AX,2,FALSE)</f>
        <v>#N/A</v>
      </c>
      <c r="BZ960" s="71"/>
    </row>
    <row r="961" spans="1:78" ht="61.5" x14ac:dyDescent="0.85">
      <c r="A961" s="20">
        <v>1</v>
      </c>
      <c r="B961" s="66">
        <f>SUBTOTAL(103,$A$948:A961)</f>
        <v>14</v>
      </c>
      <c r="C961" s="24" t="s">
        <v>590</v>
      </c>
      <c r="D961" s="31">
        <f t="shared" si="212"/>
        <v>5350859.32</v>
      </c>
      <c r="E961" s="31">
        <v>0</v>
      </c>
      <c r="F961" s="31">
        <v>0</v>
      </c>
      <c r="G961" s="31">
        <v>0</v>
      </c>
      <c r="H961" s="31">
        <v>0</v>
      </c>
      <c r="I961" s="31">
        <v>0</v>
      </c>
      <c r="J961" s="31">
        <v>0</v>
      </c>
      <c r="K961" s="33">
        <v>0</v>
      </c>
      <c r="L961" s="31">
        <v>0</v>
      </c>
      <c r="M961" s="31">
        <v>1151</v>
      </c>
      <c r="N961" s="31">
        <v>5271782.58</v>
      </c>
      <c r="O961" s="31">
        <v>0</v>
      </c>
      <c r="P961" s="31">
        <v>0</v>
      </c>
      <c r="Q961" s="31">
        <v>0</v>
      </c>
      <c r="R961" s="31">
        <v>0</v>
      </c>
      <c r="S961" s="31">
        <v>0</v>
      </c>
      <c r="T961" s="31">
        <v>0</v>
      </c>
      <c r="U961" s="31">
        <v>0</v>
      </c>
      <c r="V961" s="31">
        <v>0</v>
      </c>
      <c r="W961" s="31">
        <v>0</v>
      </c>
      <c r="X961" s="31">
        <v>0</v>
      </c>
      <c r="Y961" s="31">
        <v>0</v>
      </c>
      <c r="Z961" s="31">
        <v>0</v>
      </c>
      <c r="AA961" s="31">
        <v>0</v>
      </c>
      <c r="AB961" s="31">
        <v>0</v>
      </c>
      <c r="AC961" s="31">
        <v>79076.740000000005</v>
      </c>
      <c r="AD961" s="31">
        <v>0</v>
      </c>
      <c r="AE961" s="31">
        <v>0</v>
      </c>
      <c r="AF961" s="34" t="s">
        <v>274</v>
      </c>
      <c r="AG961" s="34">
        <v>2022</v>
      </c>
      <c r="AH961" s="35">
        <v>2022</v>
      </c>
      <c r="AT961" s="20" t="e">
        <f>VLOOKUP(C961,AW:AX,2,FALSE)</f>
        <v>#N/A</v>
      </c>
      <c r="BZ961" s="71"/>
    </row>
    <row r="962" spans="1:78" ht="61.5" x14ac:dyDescent="0.85">
      <c r="A962" s="20">
        <v>1</v>
      </c>
      <c r="B962" s="66">
        <f>SUBTOTAL(103,$A$948:A962)</f>
        <v>15</v>
      </c>
      <c r="C962" s="24" t="s">
        <v>591</v>
      </c>
      <c r="D962" s="31">
        <f t="shared" si="212"/>
        <v>2108786.08</v>
      </c>
      <c r="E962" s="31">
        <v>0</v>
      </c>
      <c r="F962" s="31">
        <v>0</v>
      </c>
      <c r="G962" s="31">
        <v>0</v>
      </c>
      <c r="H962" s="31">
        <v>0</v>
      </c>
      <c r="I962" s="31">
        <v>0</v>
      </c>
      <c r="J962" s="31">
        <v>0</v>
      </c>
      <c r="K962" s="33">
        <v>0</v>
      </c>
      <c r="L962" s="31">
        <v>0</v>
      </c>
      <c r="M962" s="31">
        <v>464.7</v>
      </c>
      <c r="N962" s="31">
        <v>2077621.75</v>
      </c>
      <c r="O962" s="31">
        <v>0</v>
      </c>
      <c r="P962" s="31">
        <v>0</v>
      </c>
      <c r="Q962" s="31">
        <v>0</v>
      </c>
      <c r="R962" s="31">
        <v>0</v>
      </c>
      <c r="S962" s="31">
        <v>0</v>
      </c>
      <c r="T962" s="31">
        <v>0</v>
      </c>
      <c r="U962" s="31">
        <v>0</v>
      </c>
      <c r="V962" s="31">
        <v>0</v>
      </c>
      <c r="W962" s="31">
        <v>0</v>
      </c>
      <c r="X962" s="31">
        <v>0</v>
      </c>
      <c r="Y962" s="31">
        <v>0</v>
      </c>
      <c r="Z962" s="31">
        <v>0</v>
      </c>
      <c r="AA962" s="31">
        <v>0</v>
      </c>
      <c r="AB962" s="31">
        <v>0</v>
      </c>
      <c r="AC962" s="31">
        <v>31164.33</v>
      </c>
      <c r="AD962" s="31">
        <v>0</v>
      </c>
      <c r="AE962" s="31">
        <v>0</v>
      </c>
      <c r="AF962" s="34" t="s">
        <v>274</v>
      </c>
      <c r="AG962" s="34">
        <v>2022</v>
      </c>
      <c r="AH962" s="35">
        <v>2022</v>
      </c>
      <c r="AT962" s="20" t="e">
        <f>VLOOKUP(C962,AW:AX,2,FALSE)</f>
        <v>#N/A</v>
      </c>
      <c r="BZ962" s="71"/>
    </row>
    <row r="963" spans="1:78" ht="61.5" x14ac:dyDescent="0.85">
      <c r="A963" s="20">
        <v>1</v>
      </c>
      <c r="B963" s="66">
        <f>SUBTOTAL(103,$A$948:A963)</f>
        <v>16</v>
      </c>
      <c r="C963" s="24" t="s">
        <v>592</v>
      </c>
      <c r="D963" s="31">
        <f t="shared" si="212"/>
        <v>2108788.0499999998</v>
      </c>
      <c r="E963" s="31">
        <v>0</v>
      </c>
      <c r="F963" s="31">
        <v>0</v>
      </c>
      <c r="G963" s="31">
        <v>0</v>
      </c>
      <c r="H963" s="31">
        <v>0</v>
      </c>
      <c r="I963" s="31">
        <v>0</v>
      </c>
      <c r="J963" s="31">
        <v>0</v>
      </c>
      <c r="K963" s="33">
        <v>0</v>
      </c>
      <c r="L963" s="31">
        <v>0</v>
      </c>
      <c r="M963" s="31">
        <v>464.68</v>
      </c>
      <c r="N963" s="31">
        <v>2077623.69</v>
      </c>
      <c r="O963" s="31">
        <v>0</v>
      </c>
      <c r="P963" s="31">
        <v>0</v>
      </c>
      <c r="Q963" s="31">
        <v>0</v>
      </c>
      <c r="R963" s="31">
        <v>0</v>
      </c>
      <c r="S963" s="31">
        <v>0</v>
      </c>
      <c r="T963" s="31">
        <v>0</v>
      </c>
      <c r="U963" s="31">
        <v>0</v>
      </c>
      <c r="V963" s="31">
        <v>0</v>
      </c>
      <c r="W963" s="31">
        <v>0</v>
      </c>
      <c r="X963" s="31">
        <v>0</v>
      </c>
      <c r="Y963" s="31">
        <v>0</v>
      </c>
      <c r="Z963" s="31">
        <v>0</v>
      </c>
      <c r="AA963" s="31">
        <v>0</v>
      </c>
      <c r="AB963" s="31">
        <v>0</v>
      </c>
      <c r="AC963" s="31">
        <v>31164.36</v>
      </c>
      <c r="AD963" s="31">
        <v>0</v>
      </c>
      <c r="AE963" s="31">
        <v>0</v>
      </c>
      <c r="AF963" s="34" t="s">
        <v>274</v>
      </c>
      <c r="AG963" s="34">
        <v>2022</v>
      </c>
      <c r="AH963" s="35">
        <v>2022</v>
      </c>
      <c r="AT963" s="20" t="e">
        <f>VLOOKUP(C963,AW:AX,2,FALSE)</f>
        <v>#N/A</v>
      </c>
      <c r="BZ963" s="71"/>
    </row>
    <row r="964" spans="1:78" ht="61.5" x14ac:dyDescent="0.85">
      <c r="A964" s="20">
        <v>1</v>
      </c>
      <c r="B964" s="66">
        <f>SUBTOTAL(103,$A$948:A964)</f>
        <v>17</v>
      </c>
      <c r="C964" s="24" t="s">
        <v>1684</v>
      </c>
      <c r="D964" s="31">
        <f t="shared" si="212"/>
        <v>4161500</v>
      </c>
      <c r="E964" s="31">
        <v>0</v>
      </c>
      <c r="F964" s="31">
        <v>0</v>
      </c>
      <c r="G964" s="31">
        <v>0</v>
      </c>
      <c r="H964" s="31">
        <v>0</v>
      </c>
      <c r="I964" s="31">
        <v>0</v>
      </c>
      <c r="J964" s="31">
        <v>0</v>
      </c>
      <c r="K964" s="33">
        <v>0</v>
      </c>
      <c r="L964" s="31">
        <v>0</v>
      </c>
      <c r="M964" s="31">
        <v>828</v>
      </c>
      <c r="N964" s="31">
        <v>4100000</v>
      </c>
      <c r="O964" s="31">
        <v>0</v>
      </c>
      <c r="P964" s="31">
        <v>0</v>
      </c>
      <c r="Q964" s="31">
        <v>0</v>
      </c>
      <c r="R964" s="31">
        <v>0</v>
      </c>
      <c r="S964" s="31">
        <v>0</v>
      </c>
      <c r="T964" s="31">
        <v>0</v>
      </c>
      <c r="U964" s="31">
        <v>0</v>
      </c>
      <c r="V964" s="31">
        <v>0</v>
      </c>
      <c r="W964" s="31">
        <v>0</v>
      </c>
      <c r="X964" s="31">
        <v>0</v>
      </c>
      <c r="Y964" s="31">
        <v>0</v>
      </c>
      <c r="Z964" s="31">
        <v>0</v>
      </c>
      <c r="AA964" s="31">
        <v>0</v>
      </c>
      <c r="AB964" s="31">
        <v>0</v>
      </c>
      <c r="AC964" s="31">
        <v>61500</v>
      </c>
      <c r="AD964" s="31">
        <v>0</v>
      </c>
      <c r="AE964" s="31">
        <v>0</v>
      </c>
      <c r="AF964" s="34" t="s">
        <v>274</v>
      </c>
      <c r="AG964" s="34">
        <v>2022</v>
      </c>
      <c r="AH964" s="35">
        <v>2022</v>
      </c>
      <c r="BZ964" s="71"/>
    </row>
    <row r="965" spans="1:78" ht="61.5" x14ac:dyDescent="0.85">
      <c r="A965" s="20">
        <v>1</v>
      </c>
      <c r="B965" s="66">
        <f>SUBTOTAL(103,$A$948:A965)</f>
        <v>18</v>
      </c>
      <c r="C965" s="24" t="s">
        <v>593</v>
      </c>
      <c r="D965" s="31">
        <f t="shared" si="212"/>
        <v>4241954.88</v>
      </c>
      <c r="E965" s="31">
        <v>0</v>
      </c>
      <c r="F965" s="31">
        <v>0</v>
      </c>
      <c r="G965" s="31">
        <v>0</v>
      </c>
      <c r="H965" s="31">
        <v>0</v>
      </c>
      <c r="I965" s="31">
        <v>0</v>
      </c>
      <c r="J965" s="31">
        <v>0</v>
      </c>
      <c r="K965" s="33">
        <v>0</v>
      </c>
      <c r="L965" s="31">
        <v>0</v>
      </c>
      <c r="M965" s="31">
        <v>917.7</v>
      </c>
      <c r="N965" s="31">
        <v>4179265.89</v>
      </c>
      <c r="O965" s="31">
        <v>0</v>
      </c>
      <c r="P965" s="31">
        <v>0</v>
      </c>
      <c r="Q965" s="31">
        <v>0</v>
      </c>
      <c r="R965" s="31">
        <v>0</v>
      </c>
      <c r="S965" s="31">
        <v>0</v>
      </c>
      <c r="T965" s="31">
        <v>0</v>
      </c>
      <c r="U965" s="31">
        <v>0</v>
      </c>
      <c r="V965" s="31">
        <v>0</v>
      </c>
      <c r="W965" s="31">
        <v>0</v>
      </c>
      <c r="X965" s="31">
        <v>0</v>
      </c>
      <c r="Y965" s="31">
        <v>0</v>
      </c>
      <c r="Z965" s="31">
        <v>0</v>
      </c>
      <c r="AA965" s="31">
        <v>0</v>
      </c>
      <c r="AB965" s="31">
        <v>0</v>
      </c>
      <c r="AC965" s="31">
        <v>62688.99</v>
      </c>
      <c r="AD965" s="31">
        <v>0</v>
      </c>
      <c r="AE965" s="31">
        <v>0</v>
      </c>
      <c r="AF965" s="34" t="s">
        <v>274</v>
      </c>
      <c r="AG965" s="34">
        <v>2022</v>
      </c>
      <c r="AH965" s="35">
        <v>2022</v>
      </c>
      <c r="AT965" s="20" t="e">
        <f t="shared" ref="AT965:AT974" si="213">VLOOKUP(C965,AW:AX,2,FALSE)</f>
        <v>#N/A</v>
      </c>
      <c r="BZ965" s="71"/>
    </row>
    <row r="966" spans="1:78" ht="61.5" x14ac:dyDescent="0.85">
      <c r="A966" s="20">
        <v>1</v>
      </c>
      <c r="B966" s="66">
        <f>SUBTOTAL(103,$A$948:A966)</f>
        <v>19</v>
      </c>
      <c r="C966" s="24" t="s">
        <v>594</v>
      </c>
      <c r="D966" s="31">
        <f t="shared" si="212"/>
        <v>3514995.2</v>
      </c>
      <c r="E966" s="31">
        <v>0</v>
      </c>
      <c r="F966" s="31">
        <v>0</v>
      </c>
      <c r="G966" s="31">
        <v>0</v>
      </c>
      <c r="H966" s="31">
        <v>0</v>
      </c>
      <c r="I966" s="31">
        <v>0</v>
      </c>
      <c r="J966" s="31">
        <v>0</v>
      </c>
      <c r="K966" s="33">
        <v>0</v>
      </c>
      <c r="L966" s="31">
        <v>0</v>
      </c>
      <c r="M966" s="31">
        <v>775</v>
      </c>
      <c r="N966" s="31">
        <v>3463049.46</v>
      </c>
      <c r="O966" s="31">
        <v>0</v>
      </c>
      <c r="P966" s="31">
        <v>0</v>
      </c>
      <c r="Q966" s="31">
        <v>0</v>
      </c>
      <c r="R966" s="31">
        <v>0</v>
      </c>
      <c r="S966" s="31">
        <v>0</v>
      </c>
      <c r="T966" s="31">
        <v>0</v>
      </c>
      <c r="U966" s="31">
        <v>0</v>
      </c>
      <c r="V966" s="31">
        <v>0</v>
      </c>
      <c r="W966" s="31">
        <v>0</v>
      </c>
      <c r="X966" s="31">
        <v>0</v>
      </c>
      <c r="Y966" s="31">
        <v>0</v>
      </c>
      <c r="Z966" s="31">
        <v>0</v>
      </c>
      <c r="AA966" s="31">
        <v>0</v>
      </c>
      <c r="AB966" s="31">
        <v>0</v>
      </c>
      <c r="AC966" s="31">
        <v>51945.74</v>
      </c>
      <c r="AD966" s="31">
        <v>0</v>
      </c>
      <c r="AE966" s="31">
        <v>0</v>
      </c>
      <c r="AF966" s="34" t="s">
        <v>274</v>
      </c>
      <c r="AG966" s="34">
        <v>2022</v>
      </c>
      <c r="AH966" s="35">
        <v>2022</v>
      </c>
      <c r="AT966" s="20" t="e">
        <f t="shared" si="213"/>
        <v>#N/A</v>
      </c>
      <c r="BZ966" s="71"/>
    </row>
    <row r="967" spans="1:78" ht="61.5" x14ac:dyDescent="0.85">
      <c r="A967" s="20">
        <v>1</v>
      </c>
      <c r="B967" s="66">
        <f>SUBTOTAL(103,$A$948:A967)</f>
        <v>20</v>
      </c>
      <c r="C967" s="24" t="s">
        <v>595</v>
      </c>
      <c r="D967" s="31">
        <f t="shared" si="212"/>
        <v>2547497.35</v>
      </c>
      <c r="E967" s="31">
        <v>0</v>
      </c>
      <c r="F967" s="31">
        <v>0</v>
      </c>
      <c r="G967" s="31">
        <v>0</v>
      </c>
      <c r="H967" s="31">
        <v>0</v>
      </c>
      <c r="I967" s="31">
        <v>0</v>
      </c>
      <c r="J967" s="31">
        <v>0</v>
      </c>
      <c r="K967" s="33">
        <v>0</v>
      </c>
      <c r="L967" s="31">
        <v>0</v>
      </c>
      <c r="M967" s="31">
        <v>557</v>
      </c>
      <c r="N967" s="31">
        <v>2509849.61</v>
      </c>
      <c r="O967" s="31">
        <v>0</v>
      </c>
      <c r="P967" s="31">
        <v>0</v>
      </c>
      <c r="Q967" s="31">
        <v>0</v>
      </c>
      <c r="R967" s="31">
        <v>0</v>
      </c>
      <c r="S967" s="31">
        <v>0</v>
      </c>
      <c r="T967" s="31">
        <v>0</v>
      </c>
      <c r="U967" s="31">
        <v>0</v>
      </c>
      <c r="V967" s="31">
        <v>0</v>
      </c>
      <c r="W967" s="31">
        <v>0</v>
      </c>
      <c r="X967" s="31">
        <v>0</v>
      </c>
      <c r="Y967" s="31">
        <v>0</v>
      </c>
      <c r="Z967" s="31">
        <v>0</v>
      </c>
      <c r="AA967" s="31">
        <v>0</v>
      </c>
      <c r="AB967" s="31">
        <v>0</v>
      </c>
      <c r="AC967" s="31">
        <v>37647.74</v>
      </c>
      <c r="AD967" s="31">
        <v>0</v>
      </c>
      <c r="AE967" s="31">
        <v>0</v>
      </c>
      <c r="AF967" s="34" t="s">
        <v>274</v>
      </c>
      <c r="AG967" s="34">
        <v>2022</v>
      </c>
      <c r="AH967" s="35">
        <v>2022</v>
      </c>
      <c r="AT967" s="20" t="e">
        <f t="shared" si="213"/>
        <v>#N/A</v>
      </c>
      <c r="BZ967" s="71"/>
    </row>
    <row r="968" spans="1:78" ht="61.5" x14ac:dyDescent="0.85">
      <c r="A968" s="20">
        <v>1</v>
      </c>
      <c r="B968" s="66">
        <f>SUBTOTAL(103,$A$948:A968)</f>
        <v>21</v>
      </c>
      <c r="C968" s="24" t="s">
        <v>596</v>
      </c>
      <c r="D968" s="31">
        <f t="shared" si="212"/>
        <v>974208.66</v>
      </c>
      <c r="E968" s="31">
        <v>0</v>
      </c>
      <c r="F968" s="31">
        <v>0</v>
      </c>
      <c r="G968" s="31">
        <v>0</v>
      </c>
      <c r="H968" s="31">
        <v>0</v>
      </c>
      <c r="I968" s="31">
        <v>0</v>
      </c>
      <c r="J968" s="31">
        <v>0</v>
      </c>
      <c r="K968" s="33">
        <v>0</v>
      </c>
      <c r="L968" s="31">
        <v>0</v>
      </c>
      <c r="M968" s="31">
        <v>226</v>
      </c>
      <c r="N968" s="31">
        <v>959811.49</v>
      </c>
      <c r="O968" s="31">
        <v>0</v>
      </c>
      <c r="P968" s="31">
        <v>0</v>
      </c>
      <c r="Q968" s="31">
        <v>0</v>
      </c>
      <c r="R968" s="31">
        <v>0</v>
      </c>
      <c r="S968" s="31">
        <v>0</v>
      </c>
      <c r="T968" s="31">
        <v>0</v>
      </c>
      <c r="U968" s="31">
        <v>0</v>
      </c>
      <c r="V968" s="31">
        <v>0</v>
      </c>
      <c r="W968" s="31">
        <v>0</v>
      </c>
      <c r="X968" s="31">
        <v>0</v>
      </c>
      <c r="Y968" s="31">
        <v>0</v>
      </c>
      <c r="Z968" s="31">
        <v>0</v>
      </c>
      <c r="AA968" s="31">
        <v>0</v>
      </c>
      <c r="AB968" s="31">
        <v>0</v>
      </c>
      <c r="AC968" s="31">
        <v>14397.17</v>
      </c>
      <c r="AD968" s="31">
        <v>0</v>
      </c>
      <c r="AE968" s="31">
        <v>0</v>
      </c>
      <c r="AF968" s="34" t="s">
        <v>274</v>
      </c>
      <c r="AG968" s="34">
        <v>2022</v>
      </c>
      <c r="AH968" s="35">
        <v>2022</v>
      </c>
      <c r="AT968" s="20" t="e">
        <f t="shared" si="213"/>
        <v>#N/A</v>
      </c>
      <c r="BZ968" s="71"/>
    </row>
    <row r="969" spans="1:78" ht="61.5" x14ac:dyDescent="0.85">
      <c r="A969" s="20">
        <v>1</v>
      </c>
      <c r="B969" s="66">
        <f>SUBTOTAL(103,$A$948:A969)</f>
        <v>22</v>
      </c>
      <c r="C969" s="24" t="s">
        <v>597</v>
      </c>
      <c r="D969" s="31">
        <f t="shared" si="212"/>
        <v>2883983.08</v>
      </c>
      <c r="E969" s="31">
        <v>0</v>
      </c>
      <c r="F969" s="31">
        <v>0</v>
      </c>
      <c r="G969" s="31">
        <v>0</v>
      </c>
      <c r="H969" s="31">
        <v>0</v>
      </c>
      <c r="I969" s="31">
        <v>0</v>
      </c>
      <c r="J969" s="31">
        <v>0</v>
      </c>
      <c r="K969" s="33">
        <v>0</v>
      </c>
      <c r="L969" s="31">
        <v>0</v>
      </c>
      <c r="M969" s="31">
        <v>632</v>
      </c>
      <c r="N969" s="31">
        <v>2841362.64</v>
      </c>
      <c r="O969" s="31">
        <v>0</v>
      </c>
      <c r="P969" s="31">
        <v>0</v>
      </c>
      <c r="Q969" s="31">
        <v>0</v>
      </c>
      <c r="R969" s="31">
        <v>0</v>
      </c>
      <c r="S969" s="31">
        <v>0</v>
      </c>
      <c r="T969" s="31">
        <v>0</v>
      </c>
      <c r="U969" s="31">
        <v>0</v>
      </c>
      <c r="V969" s="31">
        <v>0</v>
      </c>
      <c r="W969" s="31">
        <v>0</v>
      </c>
      <c r="X969" s="31">
        <v>0</v>
      </c>
      <c r="Y969" s="31">
        <v>0</v>
      </c>
      <c r="Z969" s="31">
        <v>0</v>
      </c>
      <c r="AA969" s="31">
        <v>0</v>
      </c>
      <c r="AB969" s="31">
        <v>0</v>
      </c>
      <c r="AC969" s="31">
        <v>42620.44</v>
      </c>
      <c r="AD969" s="31">
        <v>0</v>
      </c>
      <c r="AE969" s="31">
        <v>0</v>
      </c>
      <c r="AF969" s="34" t="s">
        <v>274</v>
      </c>
      <c r="AG969" s="34">
        <v>2022</v>
      </c>
      <c r="AH969" s="35">
        <v>2022</v>
      </c>
      <c r="AT969" s="20" t="e">
        <f t="shared" si="213"/>
        <v>#N/A</v>
      </c>
      <c r="BZ969" s="71"/>
    </row>
    <row r="970" spans="1:78" ht="61.5" x14ac:dyDescent="0.85">
      <c r="A970" s="20">
        <v>1</v>
      </c>
      <c r="B970" s="66">
        <f>SUBTOTAL(103,$A$948:A970)</f>
        <v>23</v>
      </c>
      <c r="C970" s="24" t="s">
        <v>598</v>
      </c>
      <c r="D970" s="31">
        <f t="shared" si="212"/>
        <v>2883983.08</v>
      </c>
      <c r="E970" s="31">
        <v>0</v>
      </c>
      <c r="F970" s="31">
        <v>0</v>
      </c>
      <c r="G970" s="31">
        <v>0</v>
      </c>
      <c r="H970" s="31">
        <v>0</v>
      </c>
      <c r="I970" s="31">
        <v>0</v>
      </c>
      <c r="J970" s="31">
        <v>0</v>
      </c>
      <c r="K970" s="33">
        <v>0</v>
      </c>
      <c r="L970" s="31">
        <v>0</v>
      </c>
      <c r="M970" s="31">
        <v>632</v>
      </c>
      <c r="N970" s="31">
        <v>2841362.64</v>
      </c>
      <c r="O970" s="31">
        <v>0</v>
      </c>
      <c r="P970" s="31">
        <v>0</v>
      </c>
      <c r="Q970" s="31">
        <v>0</v>
      </c>
      <c r="R970" s="31">
        <v>0</v>
      </c>
      <c r="S970" s="31">
        <v>0</v>
      </c>
      <c r="T970" s="31">
        <v>0</v>
      </c>
      <c r="U970" s="31">
        <v>0</v>
      </c>
      <c r="V970" s="31">
        <v>0</v>
      </c>
      <c r="W970" s="31">
        <v>0</v>
      </c>
      <c r="X970" s="31">
        <v>0</v>
      </c>
      <c r="Y970" s="31">
        <v>0</v>
      </c>
      <c r="Z970" s="31">
        <v>0</v>
      </c>
      <c r="AA970" s="31">
        <v>0</v>
      </c>
      <c r="AB970" s="31">
        <v>0</v>
      </c>
      <c r="AC970" s="31">
        <v>42620.44</v>
      </c>
      <c r="AD970" s="31">
        <v>0</v>
      </c>
      <c r="AE970" s="31">
        <v>0</v>
      </c>
      <c r="AF970" s="34" t="s">
        <v>274</v>
      </c>
      <c r="AG970" s="34">
        <v>2022</v>
      </c>
      <c r="AH970" s="35">
        <v>2022</v>
      </c>
      <c r="AT970" s="20" t="e">
        <f t="shared" si="213"/>
        <v>#N/A</v>
      </c>
      <c r="BZ970" s="71"/>
    </row>
    <row r="971" spans="1:78" ht="61.5" x14ac:dyDescent="0.85">
      <c r="A971" s="20">
        <v>1</v>
      </c>
      <c r="B971" s="66">
        <f>SUBTOTAL(103,$A$948:A971)</f>
        <v>24</v>
      </c>
      <c r="C971" s="24" t="s">
        <v>599</v>
      </c>
      <c r="D971" s="31">
        <f t="shared" si="212"/>
        <v>3302263</v>
      </c>
      <c r="E971" s="31">
        <v>0</v>
      </c>
      <c r="F971" s="31">
        <v>0</v>
      </c>
      <c r="G971" s="31">
        <v>0</v>
      </c>
      <c r="H971" s="31">
        <v>0</v>
      </c>
      <c r="I971" s="31">
        <v>0</v>
      </c>
      <c r="J971" s="31">
        <v>0</v>
      </c>
      <c r="K971" s="33">
        <v>0</v>
      </c>
      <c r="L971" s="31">
        <v>0</v>
      </c>
      <c r="M971" s="31">
        <v>720</v>
      </c>
      <c r="N971" s="31">
        <v>3253461.08</v>
      </c>
      <c r="O971" s="31">
        <v>0</v>
      </c>
      <c r="P971" s="31">
        <v>0</v>
      </c>
      <c r="Q971" s="31">
        <v>0</v>
      </c>
      <c r="R971" s="31">
        <v>0</v>
      </c>
      <c r="S971" s="31">
        <v>0</v>
      </c>
      <c r="T971" s="31">
        <v>0</v>
      </c>
      <c r="U971" s="31">
        <v>0</v>
      </c>
      <c r="V971" s="31">
        <v>0</v>
      </c>
      <c r="W971" s="31">
        <v>0</v>
      </c>
      <c r="X971" s="31">
        <v>0</v>
      </c>
      <c r="Y971" s="31">
        <v>0</v>
      </c>
      <c r="Z971" s="31">
        <v>0</v>
      </c>
      <c r="AA971" s="31">
        <v>0</v>
      </c>
      <c r="AB971" s="31">
        <v>0</v>
      </c>
      <c r="AC971" s="31">
        <v>48801.919999999998</v>
      </c>
      <c r="AD971" s="31">
        <v>0</v>
      </c>
      <c r="AE971" s="31">
        <v>0</v>
      </c>
      <c r="AF971" s="34" t="s">
        <v>274</v>
      </c>
      <c r="AG971" s="34">
        <v>2022</v>
      </c>
      <c r="AH971" s="35">
        <v>2022</v>
      </c>
      <c r="AT971" s="20" t="e">
        <f t="shared" si="213"/>
        <v>#N/A</v>
      </c>
      <c r="BZ971" s="71"/>
    </row>
    <row r="972" spans="1:78" ht="61.5" x14ac:dyDescent="0.85">
      <c r="A972" s="20">
        <v>1</v>
      </c>
      <c r="B972" s="66">
        <f>SUBTOTAL(103,$A$948:A972)</f>
        <v>25</v>
      </c>
      <c r="C972" s="24" t="s">
        <v>600</v>
      </c>
      <c r="D972" s="31">
        <f t="shared" si="212"/>
        <v>4323303.57</v>
      </c>
      <c r="E972" s="31">
        <v>0</v>
      </c>
      <c r="F972" s="31">
        <v>0</v>
      </c>
      <c r="G972" s="31">
        <v>0</v>
      </c>
      <c r="H972" s="31">
        <v>0</v>
      </c>
      <c r="I972" s="31">
        <v>0</v>
      </c>
      <c r="J972" s="31">
        <v>0</v>
      </c>
      <c r="K972" s="33">
        <v>0</v>
      </c>
      <c r="L972" s="31">
        <v>0</v>
      </c>
      <c r="M972" s="31">
        <v>971</v>
      </c>
      <c r="N972" s="31">
        <v>4259412.38</v>
      </c>
      <c r="O972" s="31">
        <v>0</v>
      </c>
      <c r="P972" s="31">
        <v>0</v>
      </c>
      <c r="Q972" s="31">
        <v>0</v>
      </c>
      <c r="R972" s="31">
        <v>0</v>
      </c>
      <c r="S972" s="31">
        <v>0</v>
      </c>
      <c r="T972" s="31">
        <v>0</v>
      </c>
      <c r="U972" s="31">
        <v>0</v>
      </c>
      <c r="V972" s="31">
        <v>0</v>
      </c>
      <c r="W972" s="31">
        <v>0</v>
      </c>
      <c r="X972" s="31">
        <v>0</v>
      </c>
      <c r="Y972" s="31">
        <v>0</v>
      </c>
      <c r="Z972" s="31">
        <v>0</v>
      </c>
      <c r="AA972" s="31">
        <v>0</v>
      </c>
      <c r="AB972" s="31">
        <v>0</v>
      </c>
      <c r="AC972" s="31">
        <v>63891.19</v>
      </c>
      <c r="AD972" s="31">
        <v>0</v>
      </c>
      <c r="AE972" s="31">
        <v>0</v>
      </c>
      <c r="AF972" s="34" t="s">
        <v>274</v>
      </c>
      <c r="AG972" s="34">
        <v>2022</v>
      </c>
      <c r="AH972" s="35">
        <v>2022</v>
      </c>
      <c r="AT972" s="20" t="e">
        <f t="shared" si="213"/>
        <v>#N/A</v>
      </c>
      <c r="BZ972" s="71"/>
    </row>
    <row r="973" spans="1:78" ht="61.5" x14ac:dyDescent="0.85">
      <c r="A973" s="20">
        <v>1</v>
      </c>
      <c r="B973" s="66">
        <f>SUBTOTAL(103,$A$948:A973)</f>
        <v>26</v>
      </c>
      <c r="C973" s="24" t="s">
        <v>601</v>
      </c>
      <c r="D973" s="31">
        <f t="shared" si="212"/>
        <v>2249559.61</v>
      </c>
      <c r="E973" s="31">
        <v>0</v>
      </c>
      <c r="F973" s="31">
        <v>0</v>
      </c>
      <c r="G973" s="31">
        <v>0</v>
      </c>
      <c r="H973" s="31">
        <v>0</v>
      </c>
      <c r="I973" s="31">
        <v>0</v>
      </c>
      <c r="J973" s="31">
        <v>0</v>
      </c>
      <c r="K973" s="33">
        <v>1</v>
      </c>
      <c r="L973" s="31">
        <v>2249559.61</v>
      </c>
      <c r="M973" s="31">
        <v>0</v>
      </c>
      <c r="N973" s="31">
        <v>0</v>
      </c>
      <c r="O973" s="31">
        <v>0</v>
      </c>
      <c r="P973" s="31">
        <v>0</v>
      </c>
      <c r="Q973" s="31">
        <v>0</v>
      </c>
      <c r="R973" s="31">
        <v>0</v>
      </c>
      <c r="S973" s="31">
        <v>0</v>
      </c>
      <c r="T973" s="31">
        <v>0</v>
      </c>
      <c r="U973" s="31">
        <v>0</v>
      </c>
      <c r="V973" s="31">
        <v>0</v>
      </c>
      <c r="W973" s="31">
        <v>0</v>
      </c>
      <c r="X973" s="31">
        <v>0</v>
      </c>
      <c r="Y973" s="31">
        <v>0</v>
      </c>
      <c r="Z973" s="31">
        <v>0</v>
      </c>
      <c r="AA973" s="31">
        <v>0</v>
      </c>
      <c r="AB973" s="31">
        <v>0</v>
      </c>
      <c r="AC973" s="31">
        <v>0</v>
      </c>
      <c r="AD973" s="31">
        <v>0</v>
      </c>
      <c r="AE973" s="31">
        <v>0</v>
      </c>
      <c r="AF973" s="34" t="s">
        <v>274</v>
      </c>
      <c r="AG973" s="34">
        <v>2022</v>
      </c>
      <c r="AH973" s="35" t="s">
        <v>274</v>
      </c>
      <c r="AT973" s="20" t="e">
        <f t="shared" si="213"/>
        <v>#N/A</v>
      </c>
      <c r="BZ973" s="71"/>
    </row>
    <row r="974" spans="1:78" ht="61.5" x14ac:dyDescent="0.85">
      <c r="A974" s="20">
        <v>1</v>
      </c>
      <c r="B974" s="66">
        <f>SUBTOTAL(103,$A$948:A974)</f>
        <v>27</v>
      </c>
      <c r="C974" s="24" t="s">
        <v>602</v>
      </c>
      <c r="D974" s="31">
        <f t="shared" si="212"/>
        <v>3899114.33</v>
      </c>
      <c r="E974" s="31">
        <v>0</v>
      </c>
      <c r="F974" s="31">
        <v>0</v>
      </c>
      <c r="G974" s="31">
        <v>0</v>
      </c>
      <c r="H974" s="31">
        <v>0</v>
      </c>
      <c r="I974" s="31">
        <v>0</v>
      </c>
      <c r="J974" s="31">
        <v>0</v>
      </c>
      <c r="K974" s="33">
        <v>0</v>
      </c>
      <c r="L974" s="31">
        <v>0</v>
      </c>
      <c r="M974" s="31">
        <v>844</v>
      </c>
      <c r="N974" s="31">
        <v>3841491.95</v>
      </c>
      <c r="O974" s="31">
        <v>0</v>
      </c>
      <c r="P974" s="31">
        <v>0</v>
      </c>
      <c r="Q974" s="31">
        <v>0</v>
      </c>
      <c r="R974" s="31">
        <v>0</v>
      </c>
      <c r="S974" s="31">
        <v>0</v>
      </c>
      <c r="T974" s="31">
        <v>0</v>
      </c>
      <c r="U974" s="31">
        <v>0</v>
      </c>
      <c r="V974" s="31">
        <v>0</v>
      </c>
      <c r="W974" s="31">
        <v>0</v>
      </c>
      <c r="X974" s="31">
        <v>0</v>
      </c>
      <c r="Y974" s="31">
        <v>0</v>
      </c>
      <c r="Z974" s="31">
        <v>0</v>
      </c>
      <c r="AA974" s="31">
        <v>0</v>
      </c>
      <c r="AB974" s="31">
        <v>0</v>
      </c>
      <c r="AC974" s="31">
        <v>57622.38</v>
      </c>
      <c r="AD974" s="31">
        <v>0</v>
      </c>
      <c r="AE974" s="31">
        <v>0</v>
      </c>
      <c r="AF974" s="34" t="s">
        <v>274</v>
      </c>
      <c r="AG974" s="34">
        <v>2022</v>
      </c>
      <c r="AH974" s="35">
        <v>2022</v>
      </c>
      <c r="AT974" s="20" t="e">
        <f t="shared" si="213"/>
        <v>#N/A</v>
      </c>
      <c r="BZ974" s="71"/>
    </row>
    <row r="975" spans="1:78" ht="61.5" x14ac:dyDescent="0.85">
      <c r="A975" s="20">
        <v>1</v>
      </c>
      <c r="B975" s="66">
        <f>SUBTOTAL(103,$A$948:A975)</f>
        <v>28</v>
      </c>
      <c r="C975" s="24" t="s">
        <v>1685</v>
      </c>
      <c r="D975" s="31">
        <f t="shared" si="212"/>
        <v>4374650</v>
      </c>
      <c r="E975" s="31">
        <v>0</v>
      </c>
      <c r="F975" s="31">
        <v>0</v>
      </c>
      <c r="G975" s="31">
        <v>0</v>
      </c>
      <c r="H975" s="31">
        <v>0</v>
      </c>
      <c r="I975" s="31">
        <v>0</v>
      </c>
      <c r="J975" s="31">
        <v>0</v>
      </c>
      <c r="K975" s="33">
        <v>0</v>
      </c>
      <c r="L975" s="31">
        <v>0</v>
      </c>
      <c r="M975" s="31">
        <v>960</v>
      </c>
      <c r="N975" s="31">
        <v>4310000</v>
      </c>
      <c r="O975" s="31">
        <v>0</v>
      </c>
      <c r="P975" s="31">
        <v>0</v>
      </c>
      <c r="Q975" s="31">
        <v>0</v>
      </c>
      <c r="R975" s="31">
        <v>0</v>
      </c>
      <c r="S975" s="31">
        <v>0</v>
      </c>
      <c r="T975" s="31">
        <v>0</v>
      </c>
      <c r="U975" s="31">
        <v>0</v>
      </c>
      <c r="V975" s="31">
        <v>0</v>
      </c>
      <c r="W975" s="31">
        <v>0</v>
      </c>
      <c r="X975" s="31">
        <v>0</v>
      </c>
      <c r="Y975" s="31">
        <v>0</v>
      </c>
      <c r="Z975" s="31">
        <v>0</v>
      </c>
      <c r="AA975" s="31">
        <v>0</v>
      </c>
      <c r="AB975" s="31">
        <v>0</v>
      </c>
      <c r="AC975" s="31">
        <v>64650</v>
      </c>
      <c r="AD975" s="31">
        <v>0</v>
      </c>
      <c r="AE975" s="31">
        <v>0</v>
      </c>
      <c r="AF975" s="34" t="s">
        <v>274</v>
      </c>
      <c r="AG975" s="34">
        <v>2022</v>
      </c>
      <c r="AH975" s="35">
        <v>2022</v>
      </c>
      <c r="BZ975" s="71"/>
    </row>
    <row r="976" spans="1:78" ht="61.5" x14ac:dyDescent="0.85">
      <c r="A976" s="20">
        <v>1</v>
      </c>
      <c r="B976" s="66">
        <f>SUBTOTAL(103,$A$948:A976)</f>
        <v>29</v>
      </c>
      <c r="C976" s="24" t="s">
        <v>1686</v>
      </c>
      <c r="D976" s="31">
        <f t="shared" si="212"/>
        <v>5613232.8199999994</v>
      </c>
      <c r="E976" s="31">
        <v>0</v>
      </c>
      <c r="F976" s="31">
        <v>0</v>
      </c>
      <c r="G976" s="31">
        <v>0</v>
      </c>
      <c r="H976" s="31">
        <v>0</v>
      </c>
      <c r="I976" s="31">
        <v>0</v>
      </c>
      <c r="J976" s="31">
        <v>0</v>
      </c>
      <c r="K976" s="33">
        <v>0</v>
      </c>
      <c r="L976" s="31">
        <v>0</v>
      </c>
      <c r="M976" s="31">
        <v>1075</v>
      </c>
      <c r="N976" s="31">
        <v>5530278.6399999997</v>
      </c>
      <c r="O976" s="31">
        <v>0</v>
      </c>
      <c r="P976" s="31">
        <v>0</v>
      </c>
      <c r="Q976" s="31">
        <v>0</v>
      </c>
      <c r="R976" s="31">
        <v>0</v>
      </c>
      <c r="S976" s="31">
        <v>0</v>
      </c>
      <c r="T976" s="31">
        <v>0</v>
      </c>
      <c r="U976" s="31">
        <v>0</v>
      </c>
      <c r="V976" s="31">
        <v>0</v>
      </c>
      <c r="W976" s="31">
        <v>0</v>
      </c>
      <c r="X976" s="31">
        <v>0</v>
      </c>
      <c r="Y976" s="31">
        <v>0</v>
      </c>
      <c r="Z976" s="31">
        <v>0</v>
      </c>
      <c r="AA976" s="31">
        <v>0</v>
      </c>
      <c r="AB976" s="31">
        <v>0</v>
      </c>
      <c r="AC976" s="31">
        <v>82954.179999999993</v>
      </c>
      <c r="AD976" s="31">
        <v>0</v>
      </c>
      <c r="AE976" s="31">
        <v>0</v>
      </c>
      <c r="AF976" s="34" t="s">
        <v>274</v>
      </c>
      <c r="AG976" s="34">
        <v>2022</v>
      </c>
      <c r="AH976" s="35">
        <v>2022</v>
      </c>
      <c r="BZ976" s="71"/>
    </row>
    <row r="977" spans="1:78" ht="61.5" x14ac:dyDescent="0.85">
      <c r="A977" s="20">
        <v>1</v>
      </c>
      <c r="B977" s="66">
        <f>SUBTOTAL(103,$A$948:A977)</f>
        <v>30</v>
      </c>
      <c r="C977" s="24" t="s">
        <v>603</v>
      </c>
      <c r="D977" s="31">
        <f t="shared" si="212"/>
        <v>3834609.35</v>
      </c>
      <c r="E977" s="31">
        <v>0</v>
      </c>
      <c r="F977" s="31">
        <v>0</v>
      </c>
      <c r="G977" s="31">
        <v>0</v>
      </c>
      <c r="H977" s="31">
        <v>0</v>
      </c>
      <c r="I977" s="31">
        <v>0</v>
      </c>
      <c r="J977" s="31">
        <v>0</v>
      </c>
      <c r="K977" s="33">
        <v>0</v>
      </c>
      <c r="L977" s="31">
        <v>0</v>
      </c>
      <c r="M977" s="31">
        <v>832</v>
      </c>
      <c r="N977" s="31">
        <v>3777940.25</v>
      </c>
      <c r="O977" s="31">
        <v>0</v>
      </c>
      <c r="P977" s="31">
        <v>0</v>
      </c>
      <c r="Q977" s="31">
        <v>0</v>
      </c>
      <c r="R977" s="31">
        <v>0</v>
      </c>
      <c r="S977" s="31">
        <v>0</v>
      </c>
      <c r="T977" s="31">
        <v>0</v>
      </c>
      <c r="U977" s="31">
        <v>0</v>
      </c>
      <c r="V977" s="31">
        <v>0</v>
      </c>
      <c r="W977" s="31">
        <v>0</v>
      </c>
      <c r="X977" s="31">
        <v>0</v>
      </c>
      <c r="Y977" s="31">
        <v>0</v>
      </c>
      <c r="Z977" s="31">
        <v>0</v>
      </c>
      <c r="AA977" s="31">
        <v>0</v>
      </c>
      <c r="AB977" s="31">
        <v>0</v>
      </c>
      <c r="AC977" s="31">
        <v>56669.1</v>
      </c>
      <c r="AD977" s="31">
        <v>0</v>
      </c>
      <c r="AE977" s="31">
        <v>0</v>
      </c>
      <c r="AF977" s="34" t="s">
        <v>274</v>
      </c>
      <c r="AG977" s="34">
        <v>2022</v>
      </c>
      <c r="AH977" s="35">
        <v>2022</v>
      </c>
      <c r="AT977" s="20" t="e">
        <f t="shared" ref="AT977:AT995" si="214">VLOOKUP(C977,AW:AX,2,FALSE)</f>
        <v>#N/A</v>
      </c>
      <c r="BZ977" s="71"/>
    </row>
    <row r="978" spans="1:78" ht="61.5" x14ac:dyDescent="0.85">
      <c r="A978" s="20">
        <v>1</v>
      </c>
      <c r="B978" s="66">
        <f>SUBTOTAL(103,$A$948:A978)</f>
        <v>31</v>
      </c>
      <c r="C978" s="24" t="s">
        <v>604</v>
      </c>
      <c r="D978" s="31">
        <f t="shared" si="212"/>
        <v>2834067.58</v>
      </c>
      <c r="E978" s="31">
        <v>0</v>
      </c>
      <c r="F978" s="31">
        <v>0</v>
      </c>
      <c r="G978" s="31">
        <v>0</v>
      </c>
      <c r="H978" s="31">
        <v>0</v>
      </c>
      <c r="I978" s="31">
        <v>0</v>
      </c>
      <c r="J978" s="31">
        <v>0</v>
      </c>
      <c r="K978" s="33">
        <v>0</v>
      </c>
      <c r="L978" s="31">
        <v>0</v>
      </c>
      <c r="M978" s="31">
        <v>621.5</v>
      </c>
      <c r="N978" s="31">
        <v>2792184.81</v>
      </c>
      <c r="O978" s="31">
        <v>0</v>
      </c>
      <c r="P978" s="31">
        <v>0</v>
      </c>
      <c r="Q978" s="31">
        <v>0</v>
      </c>
      <c r="R978" s="31">
        <v>0</v>
      </c>
      <c r="S978" s="31">
        <v>0</v>
      </c>
      <c r="T978" s="31">
        <v>0</v>
      </c>
      <c r="U978" s="31">
        <v>0</v>
      </c>
      <c r="V978" s="31">
        <v>0</v>
      </c>
      <c r="W978" s="31">
        <v>0</v>
      </c>
      <c r="X978" s="31">
        <v>0</v>
      </c>
      <c r="Y978" s="31">
        <v>0</v>
      </c>
      <c r="Z978" s="31">
        <v>0</v>
      </c>
      <c r="AA978" s="31">
        <v>0</v>
      </c>
      <c r="AB978" s="31">
        <v>0</v>
      </c>
      <c r="AC978" s="31">
        <v>41882.769999999997</v>
      </c>
      <c r="AD978" s="31">
        <v>0</v>
      </c>
      <c r="AE978" s="31">
        <v>0</v>
      </c>
      <c r="AF978" s="34" t="s">
        <v>274</v>
      </c>
      <c r="AG978" s="34">
        <v>2022</v>
      </c>
      <c r="AH978" s="35">
        <v>2022</v>
      </c>
      <c r="AT978" s="20" t="e">
        <f t="shared" si="214"/>
        <v>#N/A</v>
      </c>
      <c r="BZ978" s="71"/>
    </row>
    <row r="979" spans="1:78" ht="61.5" x14ac:dyDescent="0.85">
      <c r="A979" s="20">
        <v>1</v>
      </c>
      <c r="B979" s="66">
        <f>SUBTOTAL(103,$A$948:A979)</f>
        <v>32</v>
      </c>
      <c r="C979" s="24" t="s">
        <v>605</v>
      </c>
      <c r="D979" s="31">
        <f t="shared" si="212"/>
        <v>6697616.7399999993</v>
      </c>
      <c r="E979" s="31">
        <v>0</v>
      </c>
      <c r="F979" s="31">
        <v>0</v>
      </c>
      <c r="G979" s="31">
        <v>0</v>
      </c>
      <c r="H979" s="31">
        <v>0</v>
      </c>
      <c r="I979" s="31">
        <v>0</v>
      </c>
      <c r="J979" s="31">
        <v>0</v>
      </c>
      <c r="K979" s="33">
        <v>0</v>
      </c>
      <c r="L979" s="31">
        <v>0</v>
      </c>
      <c r="M979" s="31">
        <v>1447</v>
      </c>
      <c r="N979" s="31">
        <v>6598637.1799999997</v>
      </c>
      <c r="O979" s="31">
        <v>0</v>
      </c>
      <c r="P979" s="31">
        <v>0</v>
      </c>
      <c r="Q979" s="31">
        <v>0</v>
      </c>
      <c r="R979" s="31">
        <v>0</v>
      </c>
      <c r="S979" s="31">
        <v>0</v>
      </c>
      <c r="T979" s="31">
        <v>0</v>
      </c>
      <c r="U979" s="31">
        <v>0</v>
      </c>
      <c r="V979" s="31">
        <v>0</v>
      </c>
      <c r="W979" s="31">
        <v>0</v>
      </c>
      <c r="X979" s="31">
        <v>0</v>
      </c>
      <c r="Y979" s="31">
        <v>0</v>
      </c>
      <c r="Z979" s="31">
        <v>0</v>
      </c>
      <c r="AA979" s="31">
        <v>0</v>
      </c>
      <c r="AB979" s="31">
        <v>0</v>
      </c>
      <c r="AC979" s="31">
        <v>98979.56</v>
      </c>
      <c r="AD979" s="31">
        <v>0</v>
      </c>
      <c r="AE979" s="31">
        <v>0</v>
      </c>
      <c r="AF979" s="34" t="s">
        <v>274</v>
      </c>
      <c r="AG979" s="34">
        <v>2022</v>
      </c>
      <c r="AH979" s="35">
        <v>2022</v>
      </c>
      <c r="AT979" s="20" t="e">
        <f t="shared" si="214"/>
        <v>#N/A</v>
      </c>
      <c r="BZ979" s="71"/>
    </row>
    <row r="980" spans="1:78" ht="61.5" x14ac:dyDescent="0.85">
      <c r="A980" s="20">
        <v>1</v>
      </c>
      <c r="B980" s="66">
        <f>SUBTOTAL(103,$A$948:A980)</f>
        <v>33</v>
      </c>
      <c r="C980" s="24" t="s">
        <v>606</v>
      </c>
      <c r="D980" s="31">
        <f t="shared" si="212"/>
        <v>5163885</v>
      </c>
      <c r="E980" s="31">
        <v>0</v>
      </c>
      <c r="F980" s="31">
        <v>0</v>
      </c>
      <c r="G980" s="31">
        <v>0</v>
      </c>
      <c r="H980" s="31">
        <v>0</v>
      </c>
      <c r="I980" s="31">
        <v>0</v>
      </c>
      <c r="J980" s="31">
        <v>0</v>
      </c>
      <c r="K980" s="33">
        <v>0</v>
      </c>
      <c r="L980" s="31">
        <v>0</v>
      </c>
      <c r="M980" s="31">
        <v>0</v>
      </c>
      <c r="N980" s="31">
        <v>0</v>
      </c>
      <c r="O980" s="31">
        <v>0</v>
      </c>
      <c r="P980" s="31">
        <v>0</v>
      </c>
      <c r="Q980" s="31">
        <v>1536</v>
      </c>
      <c r="R980" s="31">
        <v>5087571.43</v>
      </c>
      <c r="S980" s="31">
        <v>0</v>
      </c>
      <c r="T980" s="31">
        <v>0</v>
      </c>
      <c r="U980" s="31">
        <v>0</v>
      </c>
      <c r="V980" s="31">
        <v>0</v>
      </c>
      <c r="W980" s="31">
        <v>0</v>
      </c>
      <c r="X980" s="31">
        <v>0</v>
      </c>
      <c r="Y980" s="31">
        <v>0</v>
      </c>
      <c r="Z980" s="31">
        <v>0</v>
      </c>
      <c r="AA980" s="31">
        <v>0</v>
      </c>
      <c r="AB980" s="31">
        <v>0</v>
      </c>
      <c r="AC980" s="31">
        <v>76313.570000000007</v>
      </c>
      <c r="AD980" s="31">
        <v>0</v>
      </c>
      <c r="AE980" s="31">
        <v>0</v>
      </c>
      <c r="AF980" s="34" t="s">
        <v>274</v>
      </c>
      <c r="AG980" s="34">
        <v>2022</v>
      </c>
      <c r="AH980" s="35">
        <v>2022</v>
      </c>
      <c r="AT980" s="20" t="e">
        <f t="shared" si="214"/>
        <v>#N/A</v>
      </c>
      <c r="BZ980" s="71"/>
    </row>
    <row r="981" spans="1:78" ht="61.5" x14ac:dyDescent="0.85">
      <c r="A981" s="20">
        <v>1</v>
      </c>
      <c r="B981" s="66">
        <f>SUBTOTAL(103,$A$948:A981)</f>
        <v>34</v>
      </c>
      <c r="C981" s="24" t="s">
        <v>607</v>
      </c>
      <c r="D981" s="31">
        <f t="shared" si="212"/>
        <v>4343671.0699999994</v>
      </c>
      <c r="E981" s="31">
        <v>0</v>
      </c>
      <c r="F981" s="31">
        <v>0</v>
      </c>
      <c r="G981" s="31">
        <v>0</v>
      </c>
      <c r="H981" s="31">
        <v>0</v>
      </c>
      <c r="I981" s="31">
        <v>0</v>
      </c>
      <c r="J981" s="31">
        <v>0</v>
      </c>
      <c r="K981" s="33">
        <v>0</v>
      </c>
      <c r="L981" s="31">
        <v>0</v>
      </c>
      <c r="M981" s="31">
        <v>939.1</v>
      </c>
      <c r="N981" s="31">
        <v>4279478.8899999997</v>
      </c>
      <c r="O981" s="31">
        <v>0</v>
      </c>
      <c r="P981" s="31">
        <v>0</v>
      </c>
      <c r="Q981" s="31">
        <v>0</v>
      </c>
      <c r="R981" s="31">
        <v>0</v>
      </c>
      <c r="S981" s="31">
        <v>0</v>
      </c>
      <c r="T981" s="31">
        <v>0</v>
      </c>
      <c r="U981" s="31">
        <v>0</v>
      </c>
      <c r="V981" s="31">
        <v>0</v>
      </c>
      <c r="W981" s="31">
        <v>0</v>
      </c>
      <c r="X981" s="31">
        <v>0</v>
      </c>
      <c r="Y981" s="31">
        <v>0</v>
      </c>
      <c r="Z981" s="31">
        <v>0</v>
      </c>
      <c r="AA981" s="31">
        <v>0</v>
      </c>
      <c r="AB981" s="31">
        <v>0</v>
      </c>
      <c r="AC981" s="31">
        <v>64192.18</v>
      </c>
      <c r="AD981" s="31">
        <v>0</v>
      </c>
      <c r="AE981" s="31">
        <v>0</v>
      </c>
      <c r="AF981" s="34" t="s">
        <v>274</v>
      </c>
      <c r="AG981" s="34">
        <v>2022</v>
      </c>
      <c r="AH981" s="35">
        <v>2022</v>
      </c>
      <c r="AT981" s="20" t="e">
        <f t="shared" si="214"/>
        <v>#N/A</v>
      </c>
      <c r="BZ981" s="71"/>
    </row>
    <row r="982" spans="1:78" ht="61.5" x14ac:dyDescent="0.85">
      <c r="A982" s="20">
        <v>1</v>
      </c>
      <c r="B982" s="66">
        <f>SUBTOTAL(103,$A$948:A982)</f>
        <v>35</v>
      </c>
      <c r="C982" s="24" t="s">
        <v>608</v>
      </c>
      <c r="D982" s="31">
        <f t="shared" si="212"/>
        <v>2694844.11</v>
      </c>
      <c r="E982" s="31">
        <v>0</v>
      </c>
      <c r="F982" s="31">
        <v>0</v>
      </c>
      <c r="G982" s="31">
        <v>0</v>
      </c>
      <c r="H982" s="31">
        <v>0</v>
      </c>
      <c r="I982" s="31">
        <v>0</v>
      </c>
      <c r="J982" s="31">
        <v>0</v>
      </c>
      <c r="K982" s="33">
        <v>0</v>
      </c>
      <c r="L982" s="31">
        <v>0</v>
      </c>
      <c r="M982" s="31">
        <v>588</v>
      </c>
      <c r="N982" s="31">
        <v>2655018.83</v>
      </c>
      <c r="O982" s="31">
        <v>0</v>
      </c>
      <c r="P982" s="31">
        <v>0</v>
      </c>
      <c r="Q982" s="31">
        <v>0</v>
      </c>
      <c r="R982" s="31">
        <v>0</v>
      </c>
      <c r="S982" s="31">
        <v>0</v>
      </c>
      <c r="T982" s="31">
        <v>0</v>
      </c>
      <c r="U982" s="31">
        <v>0</v>
      </c>
      <c r="V982" s="31">
        <v>0</v>
      </c>
      <c r="W982" s="31">
        <v>0</v>
      </c>
      <c r="X982" s="31">
        <v>0</v>
      </c>
      <c r="Y982" s="31">
        <v>0</v>
      </c>
      <c r="Z982" s="31">
        <v>0</v>
      </c>
      <c r="AA982" s="31">
        <v>0</v>
      </c>
      <c r="AB982" s="31">
        <v>0</v>
      </c>
      <c r="AC982" s="31">
        <v>39825.279999999999</v>
      </c>
      <c r="AD982" s="31">
        <v>0</v>
      </c>
      <c r="AE982" s="31">
        <v>0</v>
      </c>
      <c r="AF982" s="34" t="s">
        <v>274</v>
      </c>
      <c r="AG982" s="34">
        <v>2022</v>
      </c>
      <c r="AH982" s="35">
        <v>2022</v>
      </c>
      <c r="AT982" s="20" t="e">
        <f t="shared" si="214"/>
        <v>#N/A</v>
      </c>
      <c r="BZ982" s="71"/>
    </row>
    <row r="983" spans="1:78" ht="61.5" x14ac:dyDescent="0.85">
      <c r="A983" s="20">
        <v>1</v>
      </c>
      <c r="B983" s="66">
        <f>SUBTOTAL(103,$A$948:A983)</f>
        <v>36</v>
      </c>
      <c r="C983" s="24" t="s">
        <v>609</v>
      </c>
      <c r="D983" s="31">
        <f t="shared" si="212"/>
        <v>4820291</v>
      </c>
      <c r="E983" s="31">
        <v>0</v>
      </c>
      <c r="F983" s="31">
        <v>0</v>
      </c>
      <c r="G983" s="31">
        <v>0</v>
      </c>
      <c r="H983" s="31">
        <v>0</v>
      </c>
      <c r="I983" s="31">
        <v>0</v>
      </c>
      <c r="J983" s="31">
        <v>0</v>
      </c>
      <c r="K983" s="33">
        <v>0</v>
      </c>
      <c r="L983" s="31">
        <v>0</v>
      </c>
      <c r="M983" s="31">
        <v>0</v>
      </c>
      <c r="N983" s="31">
        <v>0</v>
      </c>
      <c r="O983" s="31">
        <v>0</v>
      </c>
      <c r="P983" s="31">
        <v>0</v>
      </c>
      <c r="Q983" s="31">
        <v>1425</v>
      </c>
      <c r="R983" s="31">
        <v>4749055</v>
      </c>
      <c r="S983" s="31">
        <v>0</v>
      </c>
      <c r="T983" s="31">
        <v>0</v>
      </c>
      <c r="U983" s="31">
        <v>0</v>
      </c>
      <c r="V983" s="31">
        <v>0</v>
      </c>
      <c r="W983" s="31">
        <v>0</v>
      </c>
      <c r="X983" s="31">
        <v>0</v>
      </c>
      <c r="Y983" s="31">
        <v>0</v>
      </c>
      <c r="Z983" s="31">
        <v>0</v>
      </c>
      <c r="AA983" s="31">
        <v>0</v>
      </c>
      <c r="AB983" s="31">
        <v>0</v>
      </c>
      <c r="AC983" s="31">
        <v>71236</v>
      </c>
      <c r="AD983" s="31">
        <v>0</v>
      </c>
      <c r="AE983" s="31">
        <v>0</v>
      </c>
      <c r="AF983" s="34" t="s">
        <v>274</v>
      </c>
      <c r="AG983" s="34">
        <v>2022</v>
      </c>
      <c r="AH983" s="35">
        <v>2022</v>
      </c>
      <c r="AT983" s="20" t="e">
        <f t="shared" si="214"/>
        <v>#N/A</v>
      </c>
      <c r="BZ983" s="71"/>
    </row>
    <row r="984" spans="1:78" ht="61.5" x14ac:dyDescent="0.85">
      <c r="A984" s="20">
        <v>1</v>
      </c>
      <c r="B984" s="66">
        <f>SUBTOTAL(103,$A$948:A984)</f>
        <v>37</v>
      </c>
      <c r="C984" s="24" t="s">
        <v>610</v>
      </c>
      <c r="D984" s="31">
        <f t="shared" si="212"/>
        <v>2571262.73</v>
      </c>
      <c r="E984" s="31">
        <v>0</v>
      </c>
      <c r="F984" s="31">
        <v>0</v>
      </c>
      <c r="G984" s="31">
        <v>0</v>
      </c>
      <c r="H984" s="31">
        <v>0</v>
      </c>
      <c r="I984" s="31">
        <v>0</v>
      </c>
      <c r="J984" s="31">
        <v>0</v>
      </c>
      <c r="K984" s="33">
        <v>0</v>
      </c>
      <c r="L984" s="31">
        <v>0</v>
      </c>
      <c r="M984" s="31">
        <v>562</v>
      </c>
      <c r="N984" s="31">
        <v>2533263.77</v>
      </c>
      <c r="O984" s="31">
        <v>0</v>
      </c>
      <c r="P984" s="31">
        <v>0</v>
      </c>
      <c r="Q984" s="31">
        <v>0</v>
      </c>
      <c r="R984" s="31">
        <v>0</v>
      </c>
      <c r="S984" s="31">
        <v>0</v>
      </c>
      <c r="T984" s="31">
        <v>0</v>
      </c>
      <c r="U984" s="31">
        <v>0</v>
      </c>
      <c r="V984" s="31">
        <v>0</v>
      </c>
      <c r="W984" s="31">
        <v>0</v>
      </c>
      <c r="X984" s="31">
        <v>0</v>
      </c>
      <c r="Y984" s="31">
        <v>0</v>
      </c>
      <c r="Z984" s="31">
        <v>0</v>
      </c>
      <c r="AA984" s="31">
        <v>0</v>
      </c>
      <c r="AB984" s="31">
        <v>0</v>
      </c>
      <c r="AC984" s="31">
        <v>37998.959999999999</v>
      </c>
      <c r="AD984" s="31">
        <v>0</v>
      </c>
      <c r="AE984" s="31">
        <v>0</v>
      </c>
      <c r="AF984" s="34" t="s">
        <v>274</v>
      </c>
      <c r="AG984" s="34">
        <v>2022</v>
      </c>
      <c r="AH984" s="35">
        <v>2022</v>
      </c>
      <c r="AT984" s="20" t="e">
        <f t="shared" si="214"/>
        <v>#N/A</v>
      </c>
      <c r="BZ984" s="71"/>
    </row>
    <row r="985" spans="1:78" ht="61.5" x14ac:dyDescent="0.85">
      <c r="A985" s="20">
        <v>1</v>
      </c>
      <c r="B985" s="66">
        <f>SUBTOTAL(103,$A$948:A985)</f>
        <v>38</v>
      </c>
      <c r="C985" s="24" t="s">
        <v>611</v>
      </c>
      <c r="D985" s="31">
        <f t="shared" si="212"/>
        <v>1989100.53</v>
      </c>
      <c r="E985" s="31">
        <v>0</v>
      </c>
      <c r="F985" s="31">
        <v>0</v>
      </c>
      <c r="G985" s="31">
        <v>0</v>
      </c>
      <c r="H985" s="31">
        <v>0</v>
      </c>
      <c r="I985" s="31">
        <v>0</v>
      </c>
      <c r="J985" s="31">
        <v>0</v>
      </c>
      <c r="K985" s="33">
        <v>0</v>
      </c>
      <c r="L985" s="31">
        <v>0</v>
      </c>
      <c r="M985" s="31">
        <v>400</v>
      </c>
      <c r="N985" s="31">
        <v>1959704.96</v>
      </c>
      <c r="O985" s="31">
        <v>0</v>
      </c>
      <c r="P985" s="31">
        <v>0</v>
      </c>
      <c r="Q985" s="31">
        <v>0</v>
      </c>
      <c r="R985" s="31">
        <v>0</v>
      </c>
      <c r="S985" s="31">
        <v>0</v>
      </c>
      <c r="T985" s="31">
        <v>0</v>
      </c>
      <c r="U985" s="31">
        <v>0</v>
      </c>
      <c r="V985" s="31">
        <v>0</v>
      </c>
      <c r="W985" s="31">
        <v>0</v>
      </c>
      <c r="X985" s="31">
        <v>0</v>
      </c>
      <c r="Y985" s="31">
        <v>0</v>
      </c>
      <c r="Z985" s="31">
        <v>0</v>
      </c>
      <c r="AA985" s="31">
        <v>0</v>
      </c>
      <c r="AB985" s="31">
        <v>0</v>
      </c>
      <c r="AC985" s="31">
        <v>29395.57</v>
      </c>
      <c r="AD985" s="31">
        <v>0</v>
      </c>
      <c r="AE985" s="31">
        <v>0</v>
      </c>
      <c r="AF985" s="34" t="s">
        <v>274</v>
      </c>
      <c r="AG985" s="34">
        <v>2022</v>
      </c>
      <c r="AH985" s="35">
        <v>2022</v>
      </c>
      <c r="AT985" s="20" t="e">
        <f t="shared" si="214"/>
        <v>#N/A</v>
      </c>
      <c r="BZ985" s="71"/>
    </row>
    <row r="986" spans="1:78" ht="61.5" x14ac:dyDescent="0.85">
      <c r="A986" s="20">
        <v>1</v>
      </c>
      <c r="B986" s="66">
        <f>SUBTOTAL(103,$A$948:A986)</f>
        <v>39</v>
      </c>
      <c r="C986" s="24" t="s">
        <v>612</v>
      </c>
      <c r="D986" s="31">
        <f t="shared" si="212"/>
        <v>4272967.33</v>
      </c>
      <c r="E986" s="31">
        <v>0</v>
      </c>
      <c r="F986" s="31">
        <v>0</v>
      </c>
      <c r="G986" s="31">
        <v>0</v>
      </c>
      <c r="H986" s="31">
        <v>0</v>
      </c>
      <c r="I986" s="31">
        <v>0</v>
      </c>
      <c r="J986" s="31">
        <v>0</v>
      </c>
      <c r="K986" s="33">
        <v>0</v>
      </c>
      <c r="L986" s="31">
        <v>0</v>
      </c>
      <c r="M986" s="31">
        <v>960</v>
      </c>
      <c r="N986" s="31">
        <v>4209820.03</v>
      </c>
      <c r="O986" s="31">
        <v>0</v>
      </c>
      <c r="P986" s="31">
        <v>0</v>
      </c>
      <c r="Q986" s="31">
        <v>0</v>
      </c>
      <c r="R986" s="31">
        <v>0</v>
      </c>
      <c r="S986" s="31">
        <v>0</v>
      </c>
      <c r="T986" s="31">
        <v>0</v>
      </c>
      <c r="U986" s="31">
        <v>0</v>
      </c>
      <c r="V986" s="31">
        <v>0</v>
      </c>
      <c r="W986" s="31">
        <v>0</v>
      </c>
      <c r="X986" s="31">
        <v>0</v>
      </c>
      <c r="Y986" s="31">
        <v>0</v>
      </c>
      <c r="Z986" s="31">
        <v>0</v>
      </c>
      <c r="AA986" s="31">
        <v>0</v>
      </c>
      <c r="AB986" s="31">
        <v>0</v>
      </c>
      <c r="AC986" s="31">
        <v>63147.3</v>
      </c>
      <c r="AD986" s="31">
        <v>0</v>
      </c>
      <c r="AE986" s="31">
        <v>0</v>
      </c>
      <c r="AF986" s="34" t="s">
        <v>274</v>
      </c>
      <c r="AG986" s="34">
        <v>2022</v>
      </c>
      <c r="AH986" s="35">
        <v>2022</v>
      </c>
      <c r="AT986" s="20" t="e">
        <f t="shared" si="214"/>
        <v>#N/A</v>
      </c>
      <c r="BZ986" s="71"/>
    </row>
    <row r="987" spans="1:78" ht="61.5" x14ac:dyDescent="0.85">
      <c r="A987" s="20">
        <v>1</v>
      </c>
      <c r="B987" s="66">
        <f>SUBTOTAL(103,$A$948:A987)</f>
        <v>40</v>
      </c>
      <c r="C987" s="24" t="s">
        <v>613</v>
      </c>
      <c r="D987" s="31">
        <f t="shared" si="212"/>
        <v>4272967.33</v>
      </c>
      <c r="E987" s="31">
        <v>0</v>
      </c>
      <c r="F987" s="31">
        <v>0</v>
      </c>
      <c r="G987" s="31">
        <v>0</v>
      </c>
      <c r="H987" s="31">
        <v>0</v>
      </c>
      <c r="I987" s="31">
        <v>0</v>
      </c>
      <c r="J987" s="31">
        <v>0</v>
      </c>
      <c r="K987" s="33">
        <v>0</v>
      </c>
      <c r="L987" s="31">
        <v>0</v>
      </c>
      <c r="M987" s="31">
        <v>960</v>
      </c>
      <c r="N987" s="31">
        <v>4209820.03</v>
      </c>
      <c r="O987" s="31">
        <v>0</v>
      </c>
      <c r="P987" s="31">
        <v>0</v>
      </c>
      <c r="Q987" s="31">
        <v>0</v>
      </c>
      <c r="R987" s="31">
        <v>0</v>
      </c>
      <c r="S987" s="31">
        <v>0</v>
      </c>
      <c r="T987" s="31">
        <v>0</v>
      </c>
      <c r="U987" s="31">
        <v>0</v>
      </c>
      <c r="V987" s="31">
        <v>0</v>
      </c>
      <c r="W987" s="31">
        <v>0</v>
      </c>
      <c r="X987" s="31">
        <v>0</v>
      </c>
      <c r="Y987" s="31">
        <v>0</v>
      </c>
      <c r="Z987" s="31">
        <v>0</v>
      </c>
      <c r="AA987" s="31">
        <v>0</v>
      </c>
      <c r="AB987" s="31">
        <v>0</v>
      </c>
      <c r="AC987" s="31">
        <v>63147.3</v>
      </c>
      <c r="AD987" s="31">
        <v>0</v>
      </c>
      <c r="AE987" s="31">
        <v>0</v>
      </c>
      <c r="AF987" s="34" t="s">
        <v>274</v>
      </c>
      <c r="AG987" s="34">
        <v>2022</v>
      </c>
      <c r="AH987" s="35">
        <v>2022</v>
      </c>
      <c r="AT987" s="20" t="e">
        <f t="shared" si="214"/>
        <v>#N/A</v>
      </c>
      <c r="BZ987" s="71"/>
    </row>
    <row r="988" spans="1:78" ht="61.5" x14ac:dyDescent="0.85">
      <c r="A988" s="20">
        <v>1</v>
      </c>
      <c r="B988" s="66">
        <f>SUBTOTAL(103,$A$948:A988)</f>
        <v>41</v>
      </c>
      <c r="C988" s="24" t="s">
        <v>614</v>
      </c>
      <c r="D988" s="31">
        <f t="shared" si="212"/>
        <v>1633943.5899999999</v>
      </c>
      <c r="E988" s="31">
        <v>0</v>
      </c>
      <c r="F988" s="31">
        <v>0</v>
      </c>
      <c r="G988" s="31">
        <v>0</v>
      </c>
      <c r="H988" s="31">
        <v>0</v>
      </c>
      <c r="I988" s="31">
        <v>0</v>
      </c>
      <c r="J988" s="31">
        <v>0</v>
      </c>
      <c r="K988" s="33">
        <v>0</v>
      </c>
      <c r="L988" s="31">
        <v>0</v>
      </c>
      <c r="M988" s="31">
        <v>364.8</v>
      </c>
      <c r="N988" s="31">
        <v>1609796.64</v>
      </c>
      <c r="O988" s="31">
        <v>0</v>
      </c>
      <c r="P988" s="31">
        <v>0</v>
      </c>
      <c r="Q988" s="31">
        <v>0</v>
      </c>
      <c r="R988" s="31">
        <v>0</v>
      </c>
      <c r="S988" s="31">
        <v>0</v>
      </c>
      <c r="T988" s="31">
        <v>0</v>
      </c>
      <c r="U988" s="31">
        <v>0</v>
      </c>
      <c r="V988" s="31">
        <v>0</v>
      </c>
      <c r="W988" s="31">
        <v>0</v>
      </c>
      <c r="X988" s="31">
        <v>0</v>
      </c>
      <c r="Y988" s="31">
        <v>0</v>
      </c>
      <c r="Z988" s="31">
        <v>0</v>
      </c>
      <c r="AA988" s="31">
        <v>0</v>
      </c>
      <c r="AB988" s="31">
        <v>0</v>
      </c>
      <c r="AC988" s="31">
        <v>24146.95</v>
      </c>
      <c r="AD988" s="31">
        <v>0</v>
      </c>
      <c r="AE988" s="31">
        <v>0</v>
      </c>
      <c r="AF988" s="34" t="s">
        <v>274</v>
      </c>
      <c r="AG988" s="34">
        <v>2022</v>
      </c>
      <c r="AH988" s="35">
        <v>2022</v>
      </c>
      <c r="AT988" s="20" t="e">
        <f t="shared" si="214"/>
        <v>#N/A</v>
      </c>
      <c r="BZ988" s="71"/>
    </row>
    <row r="989" spans="1:78" ht="61.5" x14ac:dyDescent="0.85">
      <c r="A989" s="20">
        <v>1</v>
      </c>
      <c r="B989" s="66">
        <f>SUBTOTAL(103,$A$948:A989)</f>
        <v>42</v>
      </c>
      <c r="C989" s="24" t="s">
        <v>615</v>
      </c>
      <c r="D989" s="31">
        <f t="shared" si="212"/>
        <v>4272967.33</v>
      </c>
      <c r="E989" s="31">
        <v>0</v>
      </c>
      <c r="F989" s="31">
        <v>0</v>
      </c>
      <c r="G989" s="31">
        <v>0</v>
      </c>
      <c r="H989" s="31">
        <v>0</v>
      </c>
      <c r="I989" s="31">
        <v>0</v>
      </c>
      <c r="J989" s="31">
        <v>0</v>
      </c>
      <c r="K989" s="33">
        <v>0</v>
      </c>
      <c r="L989" s="31">
        <v>0</v>
      </c>
      <c r="M989" s="31">
        <v>960</v>
      </c>
      <c r="N989" s="31">
        <v>4209820.03</v>
      </c>
      <c r="O989" s="31">
        <v>0</v>
      </c>
      <c r="P989" s="31">
        <v>0</v>
      </c>
      <c r="Q989" s="31">
        <v>0</v>
      </c>
      <c r="R989" s="31">
        <v>0</v>
      </c>
      <c r="S989" s="31">
        <v>0</v>
      </c>
      <c r="T989" s="31">
        <v>0</v>
      </c>
      <c r="U989" s="31">
        <v>0</v>
      </c>
      <c r="V989" s="31">
        <v>0</v>
      </c>
      <c r="W989" s="31">
        <v>0</v>
      </c>
      <c r="X989" s="31">
        <v>0</v>
      </c>
      <c r="Y989" s="31">
        <v>0</v>
      </c>
      <c r="Z989" s="31">
        <v>0</v>
      </c>
      <c r="AA989" s="31">
        <v>0</v>
      </c>
      <c r="AB989" s="31">
        <v>0</v>
      </c>
      <c r="AC989" s="31">
        <v>63147.3</v>
      </c>
      <c r="AD989" s="31">
        <v>0</v>
      </c>
      <c r="AE989" s="31">
        <v>0</v>
      </c>
      <c r="AF989" s="34" t="s">
        <v>274</v>
      </c>
      <c r="AG989" s="34">
        <v>2022</v>
      </c>
      <c r="AH989" s="35">
        <v>2022</v>
      </c>
      <c r="AT989" s="20" t="e">
        <f t="shared" si="214"/>
        <v>#N/A</v>
      </c>
      <c r="BZ989" s="71"/>
    </row>
    <row r="990" spans="1:78" ht="61.5" x14ac:dyDescent="0.85">
      <c r="A990" s="20">
        <v>1</v>
      </c>
      <c r="B990" s="66">
        <f>SUBTOTAL(103,$A$948:A990)</f>
        <v>43</v>
      </c>
      <c r="C990" s="24" t="s">
        <v>616</v>
      </c>
      <c r="D990" s="31">
        <f t="shared" si="212"/>
        <v>4272967.33</v>
      </c>
      <c r="E990" s="31">
        <v>0</v>
      </c>
      <c r="F990" s="31">
        <v>0</v>
      </c>
      <c r="G990" s="31">
        <v>0</v>
      </c>
      <c r="H990" s="31">
        <v>0</v>
      </c>
      <c r="I990" s="31">
        <v>0</v>
      </c>
      <c r="J990" s="31">
        <v>0</v>
      </c>
      <c r="K990" s="33">
        <v>0</v>
      </c>
      <c r="L990" s="31">
        <v>0</v>
      </c>
      <c r="M990" s="31">
        <v>960</v>
      </c>
      <c r="N990" s="31">
        <v>4209820.03</v>
      </c>
      <c r="O990" s="31">
        <v>0</v>
      </c>
      <c r="P990" s="31">
        <v>0</v>
      </c>
      <c r="Q990" s="31">
        <v>0</v>
      </c>
      <c r="R990" s="31">
        <v>0</v>
      </c>
      <c r="S990" s="31">
        <v>0</v>
      </c>
      <c r="T990" s="31">
        <v>0</v>
      </c>
      <c r="U990" s="31">
        <v>0</v>
      </c>
      <c r="V990" s="31">
        <v>0</v>
      </c>
      <c r="W990" s="31">
        <v>0</v>
      </c>
      <c r="X990" s="31">
        <v>0</v>
      </c>
      <c r="Y990" s="31">
        <v>0</v>
      </c>
      <c r="Z990" s="31">
        <v>0</v>
      </c>
      <c r="AA990" s="31">
        <v>0</v>
      </c>
      <c r="AB990" s="31">
        <v>0</v>
      </c>
      <c r="AC990" s="31">
        <v>63147.3</v>
      </c>
      <c r="AD990" s="31">
        <v>0</v>
      </c>
      <c r="AE990" s="31">
        <v>0</v>
      </c>
      <c r="AF990" s="34" t="s">
        <v>274</v>
      </c>
      <c r="AG990" s="34">
        <v>2022</v>
      </c>
      <c r="AH990" s="35">
        <v>2022</v>
      </c>
      <c r="AT990" s="20" t="e">
        <f t="shared" si="214"/>
        <v>#N/A</v>
      </c>
      <c r="BZ990" s="71"/>
    </row>
    <row r="991" spans="1:78" ht="61.5" x14ac:dyDescent="0.85">
      <c r="A991" s="20">
        <v>1</v>
      </c>
      <c r="B991" s="66">
        <f>SUBTOTAL(103,$A$948:A991)</f>
        <v>44</v>
      </c>
      <c r="C991" s="24" t="s">
        <v>617</v>
      </c>
      <c r="D991" s="31">
        <f t="shared" si="212"/>
        <v>3064601.1799999997</v>
      </c>
      <c r="E991" s="31">
        <v>0</v>
      </c>
      <c r="F991" s="31">
        <v>0</v>
      </c>
      <c r="G991" s="31">
        <v>0</v>
      </c>
      <c r="H991" s="31">
        <v>0</v>
      </c>
      <c r="I991" s="31">
        <v>0</v>
      </c>
      <c r="J991" s="31">
        <v>0</v>
      </c>
      <c r="K991" s="33">
        <v>0</v>
      </c>
      <c r="L991" s="31">
        <v>0</v>
      </c>
      <c r="M991" s="31">
        <v>670</v>
      </c>
      <c r="N991" s="31">
        <v>3019311.51</v>
      </c>
      <c r="O991" s="31">
        <v>0</v>
      </c>
      <c r="P991" s="31">
        <v>0</v>
      </c>
      <c r="Q991" s="31">
        <v>0</v>
      </c>
      <c r="R991" s="31">
        <v>0</v>
      </c>
      <c r="S991" s="31">
        <v>0</v>
      </c>
      <c r="T991" s="31">
        <v>0</v>
      </c>
      <c r="U991" s="31">
        <v>0</v>
      </c>
      <c r="V991" s="31">
        <v>0</v>
      </c>
      <c r="W991" s="31">
        <v>0</v>
      </c>
      <c r="X991" s="31">
        <v>0</v>
      </c>
      <c r="Y991" s="31">
        <v>0</v>
      </c>
      <c r="Z991" s="31">
        <v>0</v>
      </c>
      <c r="AA991" s="31">
        <v>0</v>
      </c>
      <c r="AB991" s="31">
        <v>0</v>
      </c>
      <c r="AC991" s="31">
        <v>45289.67</v>
      </c>
      <c r="AD991" s="31">
        <v>0</v>
      </c>
      <c r="AE991" s="31">
        <v>0</v>
      </c>
      <c r="AF991" s="34" t="s">
        <v>274</v>
      </c>
      <c r="AG991" s="34">
        <v>2022</v>
      </c>
      <c r="AH991" s="35">
        <v>2022</v>
      </c>
      <c r="AT991" s="20" t="e">
        <f t="shared" si="214"/>
        <v>#N/A</v>
      </c>
      <c r="BZ991" s="71"/>
    </row>
    <row r="992" spans="1:78" ht="61.5" x14ac:dyDescent="0.85">
      <c r="A992" s="20">
        <v>1</v>
      </c>
      <c r="B992" s="66">
        <f>SUBTOTAL(103,$A$948:A992)</f>
        <v>45</v>
      </c>
      <c r="C992" s="24" t="s">
        <v>618</v>
      </c>
      <c r="D992" s="31">
        <f t="shared" si="212"/>
        <v>1046986.94</v>
      </c>
      <c r="E992" s="31">
        <v>0</v>
      </c>
      <c r="F992" s="31">
        <v>0</v>
      </c>
      <c r="G992" s="31">
        <v>0</v>
      </c>
      <c r="H992" s="31">
        <v>0</v>
      </c>
      <c r="I992" s="31">
        <v>0</v>
      </c>
      <c r="J992" s="31">
        <v>0</v>
      </c>
      <c r="K992" s="33">
        <v>0</v>
      </c>
      <c r="L992" s="31">
        <v>0</v>
      </c>
      <c r="M992" s="31">
        <v>235</v>
      </c>
      <c r="N992" s="31">
        <v>1031514.23</v>
      </c>
      <c r="O992" s="31">
        <v>0</v>
      </c>
      <c r="P992" s="31">
        <v>0</v>
      </c>
      <c r="Q992" s="31">
        <v>0</v>
      </c>
      <c r="R992" s="31">
        <v>0</v>
      </c>
      <c r="S992" s="31">
        <v>0</v>
      </c>
      <c r="T992" s="31">
        <v>0</v>
      </c>
      <c r="U992" s="31">
        <v>0</v>
      </c>
      <c r="V992" s="31">
        <v>0</v>
      </c>
      <c r="W992" s="31">
        <v>0</v>
      </c>
      <c r="X992" s="31">
        <v>0</v>
      </c>
      <c r="Y992" s="31">
        <v>0</v>
      </c>
      <c r="Z992" s="31">
        <v>0</v>
      </c>
      <c r="AA992" s="31">
        <v>0</v>
      </c>
      <c r="AB992" s="31">
        <v>0</v>
      </c>
      <c r="AC992" s="31">
        <v>15472.71</v>
      </c>
      <c r="AD992" s="31">
        <v>0</v>
      </c>
      <c r="AE992" s="31">
        <v>0</v>
      </c>
      <c r="AF992" s="34" t="s">
        <v>274</v>
      </c>
      <c r="AG992" s="34">
        <v>2022</v>
      </c>
      <c r="AH992" s="35">
        <v>2022</v>
      </c>
      <c r="AT992" s="20" t="e">
        <f t="shared" si="214"/>
        <v>#N/A</v>
      </c>
      <c r="BZ992" s="71"/>
    </row>
    <row r="993" spans="1:80" ht="61.5" x14ac:dyDescent="0.85">
      <c r="A993" s="20">
        <v>1</v>
      </c>
      <c r="B993" s="66">
        <f>SUBTOTAL(103,$A$948:A993)</f>
        <v>46</v>
      </c>
      <c r="C993" s="24" t="s">
        <v>619</v>
      </c>
      <c r="D993" s="31">
        <f t="shared" si="212"/>
        <v>3516149.44</v>
      </c>
      <c r="E993" s="31">
        <v>0</v>
      </c>
      <c r="F993" s="31">
        <v>0</v>
      </c>
      <c r="G993" s="31">
        <v>0</v>
      </c>
      <c r="H993" s="31">
        <v>0</v>
      </c>
      <c r="I993" s="31">
        <v>0</v>
      </c>
      <c r="J993" s="31">
        <v>0</v>
      </c>
      <c r="K993" s="33">
        <v>0</v>
      </c>
      <c r="L993" s="31">
        <v>0</v>
      </c>
      <c r="M993" s="31">
        <v>765</v>
      </c>
      <c r="N993" s="31">
        <v>3464186.64</v>
      </c>
      <c r="O993" s="31">
        <v>0</v>
      </c>
      <c r="P993" s="31">
        <v>0</v>
      </c>
      <c r="Q993" s="31">
        <v>0</v>
      </c>
      <c r="R993" s="31">
        <v>0</v>
      </c>
      <c r="S993" s="31">
        <v>0</v>
      </c>
      <c r="T993" s="31">
        <v>0</v>
      </c>
      <c r="U993" s="31">
        <v>0</v>
      </c>
      <c r="V993" s="31">
        <v>0</v>
      </c>
      <c r="W993" s="31">
        <v>0</v>
      </c>
      <c r="X993" s="31">
        <v>0</v>
      </c>
      <c r="Y993" s="31">
        <v>0</v>
      </c>
      <c r="Z993" s="31">
        <v>0</v>
      </c>
      <c r="AA993" s="31">
        <v>0</v>
      </c>
      <c r="AB993" s="31">
        <v>0</v>
      </c>
      <c r="AC993" s="31">
        <v>51962.8</v>
      </c>
      <c r="AD993" s="31">
        <v>0</v>
      </c>
      <c r="AE993" s="31">
        <v>0</v>
      </c>
      <c r="AF993" s="34" t="s">
        <v>274</v>
      </c>
      <c r="AG993" s="34">
        <v>2022</v>
      </c>
      <c r="AH993" s="35">
        <v>2022</v>
      </c>
      <c r="AT993" s="20" t="e">
        <f t="shared" si="214"/>
        <v>#N/A</v>
      </c>
      <c r="BZ993" s="71"/>
    </row>
    <row r="994" spans="1:80" ht="61.5" x14ac:dyDescent="0.85">
      <c r="A994" s="20">
        <v>1</v>
      </c>
      <c r="B994" s="66">
        <f>SUBTOTAL(103,$A$948:A994)</f>
        <v>47</v>
      </c>
      <c r="C994" s="24" t="s">
        <v>620</v>
      </c>
      <c r="D994" s="31">
        <f t="shared" si="212"/>
        <v>3493334.35</v>
      </c>
      <c r="E994" s="31">
        <v>0</v>
      </c>
      <c r="F994" s="31">
        <v>0</v>
      </c>
      <c r="G994" s="31">
        <v>0</v>
      </c>
      <c r="H994" s="31">
        <v>0</v>
      </c>
      <c r="I994" s="31">
        <v>0</v>
      </c>
      <c r="J994" s="31">
        <v>0</v>
      </c>
      <c r="K994" s="33">
        <v>0</v>
      </c>
      <c r="L994" s="31">
        <v>0</v>
      </c>
      <c r="M994" s="31">
        <v>760.2</v>
      </c>
      <c r="N994" s="31">
        <v>3441708.72</v>
      </c>
      <c r="O994" s="31">
        <v>0</v>
      </c>
      <c r="P994" s="31">
        <v>0</v>
      </c>
      <c r="Q994" s="31">
        <v>0</v>
      </c>
      <c r="R994" s="31">
        <v>0</v>
      </c>
      <c r="S994" s="31">
        <v>0</v>
      </c>
      <c r="T994" s="31">
        <v>0</v>
      </c>
      <c r="U994" s="31">
        <v>0</v>
      </c>
      <c r="V994" s="31">
        <v>0</v>
      </c>
      <c r="W994" s="31">
        <v>0</v>
      </c>
      <c r="X994" s="31">
        <v>0</v>
      </c>
      <c r="Y994" s="31">
        <v>0</v>
      </c>
      <c r="Z994" s="31">
        <v>0</v>
      </c>
      <c r="AA994" s="31">
        <v>0</v>
      </c>
      <c r="AB994" s="31">
        <v>0</v>
      </c>
      <c r="AC994" s="31">
        <v>51625.63</v>
      </c>
      <c r="AD994" s="31">
        <v>0</v>
      </c>
      <c r="AE994" s="31">
        <v>0</v>
      </c>
      <c r="AF994" s="34" t="s">
        <v>274</v>
      </c>
      <c r="AG994" s="34">
        <v>2022</v>
      </c>
      <c r="AH994" s="35">
        <v>2022</v>
      </c>
      <c r="AT994" s="20" t="e">
        <f t="shared" si="214"/>
        <v>#N/A</v>
      </c>
      <c r="BZ994" s="71"/>
    </row>
    <row r="995" spans="1:80" ht="61.5" x14ac:dyDescent="0.85">
      <c r="A995" s="20">
        <v>1</v>
      </c>
      <c r="B995" s="66">
        <f>SUBTOTAL(103,$A$948:A995)</f>
        <v>48</v>
      </c>
      <c r="C995" s="24" t="s">
        <v>621</v>
      </c>
      <c r="D995" s="31">
        <f t="shared" si="212"/>
        <v>2597653.14</v>
      </c>
      <c r="E995" s="31">
        <v>0</v>
      </c>
      <c r="F995" s="31">
        <v>0</v>
      </c>
      <c r="G995" s="31">
        <v>0</v>
      </c>
      <c r="H995" s="31">
        <v>0</v>
      </c>
      <c r="I995" s="31">
        <v>0</v>
      </c>
      <c r="J995" s="31">
        <v>0</v>
      </c>
      <c r="K995" s="33">
        <v>0</v>
      </c>
      <c r="L995" s="31">
        <v>0</v>
      </c>
      <c r="M995" s="31">
        <v>571.76</v>
      </c>
      <c r="N995" s="31">
        <v>2559264.1800000002</v>
      </c>
      <c r="O995" s="31">
        <v>0</v>
      </c>
      <c r="P995" s="31">
        <v>0</v>
      </c>
      <c r="Q995" s="31">
        <v>0</v>
      </c>
      <c r="R995" s="31">
        <v>0</v>
      </c>
      <c r="S995" s="31">
        <v>0</v>
      </c>
      <c r="T995" s="31">
        <v>0</v>
      </c>
      <c r="U995" s="31">
        <v>0</v>
      </c>
      <c r="V995" s="31">
        <v>0</v>
      </c>
      <c r="W995" s="31">
        <v>0</v>
      </c>
      <c r="X995" s="31">
        <v>0</v>
      </c>
      <c r="Y995" s="31">
        <v>0</v>
      </c>
      <c r="Z995" s="31">
        <v>0</v>
      </c>
      <c r="AA995" s="31">
        <v>0</v>
      </c>
      <c r="AB995" s="31">
        <v>0</v>
      </c>
      <c r="AC995" s="31">
        <v>38388.959999999999</v>
      </c>
      <c r="AD995" s="31">
        <v>0</v>
      </c>
      <c r="AE995" s="31">
        <v>0</v>
      </c>
      <c r="AF995" s="34" t="s">
        <v>274</v>
      </c>
      <c r="AG995" s="34">
        <v>2022</v>
      </c>
      <c r="AH995" s="35">
        <v>2022</v>
      </c>
      <c r="AT995" s="20" t="e">
        <f t="shared" si="214"/>
        <v>#N/A</v>
      </c>
      <c r="BZ995" s="71"/>
    </row>
    <row r="996" spans="1:80" ht="61.5" x14ac:dyDescent="0.85">
      <c r="A996" s="20">
        <v>1</v>
      </c>
      <c r="B996" s="66">
        <f>SUBTOTAL(103,$A$948:A996)</f>
        <v>49</v>
      </c>
      <c r="C996" s="24" t="s">
        <v>1412</v>
      </c>
      <c r="D996" s="31">
        <f t="shared" si="212"/>
        <v>7840331.7599999998</v>
      </c>
      <c r="E996" s="31">
        <v>0</v>
      </c>
      <c r="F996" s="31">
        <v>0</v>
      </c>
      <c r="G996" s="31">
        <v>0</v>
      </c>
      <c r="H996" s="31">
        <v>0</v>
      </c>
      <c r="I996" s="31">
        <v>0</v>
      </c>
      <c r="J996" s="31">
        <v>0</v>
      </c>
      <c r="K996" s="33">
        <v>0</v>
      </c>
      <c r="L996" s="31">
        <v>0</v>
      </c>
      <c r="M996" s="31">
        <v>2314</v>
      </c>
      <c r="N996" s="31">
        <v>7724464.79</v>
      </c>
      <c r="O996" s="31">
        <v>0</v>
      </c>
      <c r="P996" s="31">
        <v>0</v>
      </c>
      <c r="Q996" s="31">
        <v>0</v>
      </c>
      <c r="R996" s="31">
        <v>0</v>
      </c>
      <c r="S996" s="31">
        <v>0</v>
      </c>
      <c r="T996" s="31">
        <v>0</v>
      </c>
      <c r="U996" s="31">
        <v>0</v>
      </c>
      <c r="V996" s="31">
        <v>0</v>
      </c>
      <c r="W996" s="31">
        <v>0</v>
      </c>
      <c r="X996" s="31">
        <v>0</v>
      </c>
      <c r="Y996" s="31">
        <v>0</v>
      </c>
      <c r="Z996" s="31">
        <v>0</v>
      </c>
      <c r="AA996" s="31">
        <v>0</v>
      </c>
      <c r="AB996" s="31">
        <v>0</v>
      </c>
      <c r="AC996" s="31">
        <v>115866.97</v>
      </c>
      <c r="AD996" s="31">
        <v>0</v>
      </c>
      <c r="AE996" s="31">
        <v>0</v>
      </c>
      <c r="AF996" s="34" t="s">
        <v>274</v>
      </c>
      <c r="AG996" s="34">
        <v>2022</v>
      </c>
      <c r="AH996" s="35">
        <v>2022</v>
      </c>
      <c r="BZ996" s="71"/>
    </row>
    <row r="997" spans="1:80" ht="61.5" x14ac:dyDescent="0.85">
      <c r="A997" s="20">
        <v>1</v>
      </c>
      <c r="B997" s="66">
        <f>SUBTOTAL(103,$A$948:A997)</f>
        <v>50</v>
      </c>
      <c r="C997" s="24" t="s">
        <v>1687</v>
      </c>
      <c r="D997" s="31">
        <f t="shared" si="212"/>
        <v>5836250</v>
      </c>
      <c r="E997" s="31">
        <v>0</v>
      </c>
      <c r="F997" s="31">
        <v>0</v>
      </c>
      <c r="G997" s="31">
        <v>0</v>
      </c>
      <c r="H997" s="31">
        <v>0</v>
      </c>
      <c r="I997" s="31">
        <v>0</v>
      </c>
      <c r="J997" s="31">
        <v>0</v>
      </c>
      <c r="K997" s="33">
        <v>0</v>
      </c>
      <c r="L997" s="31">
        <v>0</v>
      </c>
      <c r="M997" s="31">
        <v>1196</v>
      </c>
      <c r="N997" s="31">
        <v>5750000</v>
      </c>
      <c r="O997" s="31">
        <v>0</v>
      </c>
      <c r="P997" s="31">
        <v>0</v>
      </c>
      <c r="Q997" s="31">
        <v>0</v>
      </c>
      <c r="R997" s="31">
        <v>0</v>
      </c>
      <c r="S997" s="31">
        <v>0</v>
      </c>
      <c r="T997" s="31">
        <v>0</v>
      </c>
      <c r="U997" s="31">
        <v>0</v>
      </c>
      <c r="V997" s="31">
        <v>0</v>
      </c>
      <c r="W997" s="31">
        <v>0</v>
      </c>
      <c r="X997" s="31">
        <v>0</v>
      </c>
      <c r="Y997" s="31">
        <v>0</v>
      </c>
      <c r="Z997" s="31">
        <v>0</v>
      </c>
      <c r="AA997" s="31">
        <v>0</v>
      </c>
      <c r="AB997" s="31">
        <v>0</v>
      </c>
      <c r="AC997" s="31">
        <v>86250</v>
      </c>
      <c r="AD997" s="31">
        <v>0</v>
      </c>
      <c r="AE997" s="31">
        <v>0</v>
      </c>
      <c r="AF997" s="34" t="s">
        <v>274</v>
      </c>
      <c r="AG997" s="34">
        <v>2022</v>
      </c>
      <c r="AH997" s="35">
        <v>2022</v>
      </c>
      <c r="BZ997" s="71"/>
    </row>
    <row r="998" spans="1:80" ht="61.5" x14ac:dyDescent="0.85">
      <c r="A998" s="20">
        <v>1</v>
      </c>
      <c r="B998" s="66">
        <f>SUBTOTAL(103,$A$948:A998)</f>
        <v>51</v>
      </c>
      <c r="C998" s="24" t="s">
        <v>1688</v>
      </c>
      <c r="D998" s="31">
        <f t="shared" si="212"/>
        <v>2840502.02</v>
      </c>
      <c r="E998" s="31">
        <v>0</v>
      </c>
      <c r="F998" s="31">
        <v>0</v>
      </c>
      <c r="G998" s="31">
        <v>0</v>
      </c>
      <c r="H998" s="31">
        <v>0</v>
      </c>
      <c r="I998" s="31">
        <v>0</v>
      </c>
      <c r="J998" s="31">
        <v>0</v>
      </c>
      <c r="K998" s="33">
        <v>0</v>
      </c>
      <c r="L998" s="31">
        <v>0</v>
      </c>
      <c r="M998" s="31">
        <v>587</v>
      </c>
      <c r="N998" s="31">
        <v>2798524.16</v>
      </c>
      <c r="O998" s="31">
        <v>0</v>
      </c>
      <c r="P998" s="31">
        <v>0</v>
      </c>
      <c r="Q998" s="31">
        <v>0</v>
      </c>
      <c r="R998" s="31">
        <v>0</v>
      </c>
      <c r="S998" s="31">
        <v>0</v>
      </c>
      <c r="T998" s="31">
        <v>0</v>
      </c>
      <c r="U998" s="31">
        <v>0</v>
      </c>
      <c r="V998" s="31">
        <v>0</v>
      </c>
      <c r="W998" s="31">
        <v>0</v>
      </c>
      <c r="X998" s="31">
        <v>0</v>
      </c>
      <c r="Y998" s="31">
        <v>0</v>
      </c>
      <c r="Z998" s="31">
        <v>0</v>
      </c>
      <c r="AA998" s="31">
        <v>0</v>
      </c>
      <c r="AB998" s="31">
        <v>0</v>
      </c>
      <c r="AC998" s="31">
        <v>41977.86</v>
      </c>
      <c r="AD998" s="31">
        <v>0</v>
      </c>
      <c r="AE998" s="31">
        <v>0</v>
      </c>
      <c r="AF998" s="34" t="s">
        <v>274</v>
      </c>
      <c r="AG998" s="34">
        <v>2022</v>
      </c>
      <c r="AH998" s="35">
        <v>2022</v>
      </c>
      <c r="BZ998" s="71"/>
    </row>
    <row r="999" spans="1:80" ht="61.5" x14ac:dyDescent="0.85">
      <c r="A999" s="20">
        <v>1</v>
      </c>
      <c r="B999" s="66">
        <f>SUBTOTAL(103,$A$948:A999)</f>
        <v>52</v>
      </c>
      <c r="C999" s="24" t="s">
        <v>622</v>
      </c>
      <c r="D999" s="31">
        <f t="shared" si="212"/>
        <v>4404985.5199999996</v>
      </c>
      <c r="E999" s="31">
        <v>0</v>
      </c>
      <c r="F999" s="31">
        <v>0</v>
      </c>
      <c r="G999" s="31">
        <v>0</v>
      </c>
      <c r="H999" s="31">
        <v>0</v>
      </c>
      <c r="I999" s="31">
        <v>0</v>
      </c>
      <c r="J999" s="31">
        <v>0</v>
      </c>
      <c r="K999" s="33">
        <v>0</v>
      </c>
      <c r="L999" s="31">
        <v>0</v>
      </c>
      <c r="M999" s="31">
        <v>952</v>
      </c>
      <c r="N999" s="31">
        <v>4339887.21</v>
      </c>
      <c r="O999" s="31">
        <v>0</v>
      </c>
      <c r="P999" s="31">
        <v>0</v>
      </c>
      <c r="Q999" s="31">
        <v>0</v>
      </c>
      <c r="R999" s="31">
        <v>0</v>
      </c>
      <c r="S999" s="31">
        <v>0</v>
      </c>
      <c r="T999" s="31">
        <v>0</v>
      </c>
      <c r="U999" s="31">
        <v>0</v>
      </c>
      <c r="V999" s="31">
        <v>0</v>
      </c>
      <c r="W999" s="31">
        <v>0</v>
      </c>
      <c r="X999" s="31">
        <v>0</v>
      </c>
      <c r="Y999" s="31">
        <v>0</v>
      </c>
      <c r="Z999" s="31">
        <v>0</v>
      </c>
      <c r="AA999" s="31">
        <v>0</v>
      </c>
      <c r="AB999" s="31">
        <v>0</v>
      </c>
      <c r="AC999" s="31">
        <v>65098.31</v>
      </c>
      <c r="AD999" s="31">
        <v>0</v>
      </c>
      <c r="AE999" s="31">
        <v>0</v>
      </c>
      <c r="AF999" s="34" t="s">
        <v>274</v>
      </c>
      <c r="AG999" s="34">
        <v>2022</v>
      </c>
      <c r="AH999" s="35">
        <v>2022</v>
      </c>
      <c r="AT999" s="20" t="e">
        <f>VLOOKUP(C999,AW:AX,2,FALSE)</f>
        <v>#N/A</v>
      </c>
      <c r="BZ999" s="71"/>
    </row>
    <row r="1000" spans="1:80" ht="61.5" x14ac:dyDescent="0.85">
      <c r="A1000" s="20">
        <v>1</v>
      </c>
      <c r="B1000" s="66">
        <f>SUBTOTAL(103,$A$948:A1000)</f>
        <v>53</v>
      </c>
      <c r="C1000" s="24" t="s">
        <v>1670</v>
      </c>
      <c r="D1000" s="31">
        <f t="shared" si="212"/>
        <v>7371186.2199999997</v>
      </c>
      <c r="E1000" s="31">
        <v>0</v>
      </c>
      <c r="F1000" s="31">
        <v>0</v>
      </c>
      <c r="G1000" s="31">
        <v>0</v>
      </c>
      <c r="H1000" s="31">
        <v>0</v>
      </c>
      <c r="I1000" s="31">
        <v>0</v>
      </c>
      <c r="J1000" s="31">
        <v>0</v>
      </c>
      <c r="K1000" s="33">
        <v>0</v>
      </c>
      <c r="L1000" s="31">
        <v>0</v>
      </c>
      <c r="M1000" s="31">
        <v>1626.8</v>
      </c>
      <c r="N1000" s="31">
        <v>7262252.4299999997</v>
      </c>
      <c r="O1000" s="31">
        <v>0</v>
      </c>
      <c r="P1000" s="31">
        <v>0</v>
      </c>
      <c r="Q1000" s="31">
        <v>0</v>
      </c>
      <c r="R1000" s="31">
        <v>0</v>
      </c>
      <c r="S1000" s="31">
        <v>0</v>
      </c>
      <c r="T1000" s="31">
        <v>0</v>
      </c>
      <c r="U1000" s="31">
        <v>0</v>
      </c>
      <c r="V1000" s="31">
        <v>0</v>
      </c>
      <c r="W1000" s="31">
        <v>0</v>
      </c>
      <c r="X1000" s="31">
        <v>0</v>
      </c>
      <c r="Y1000" s="31">
        <v>0</v>
      </c>
      <c r="Z1000" s="31">
        <v>0</v>
      </c>
      <c r="AA1000" s="31">
        <v>0</v>
      </c>
      <c r="AB1000" s="31">
        <v>0</v>
      </c>
      <c r="AC1000" s="31">
        <v>108933.79</v>
      </c>
      <c r="AD1000" s="31">
        <v>0</v>
      </c>
      <c r="AE1000" s="31">
        <v>0</v>
      </c>
      <c r="AF1000" s="34" t="s">
        <v>274</v>
      </c>
      <c r="AG1000" s="34">
        <v>2022</v>
      </c>
      <c r="AH1000" s="35">
        <v>2022</v>
      </c>
      <c r="BZ1000" s="71"/>
    </row>
    <row r="1001" spans="1:80" ht="61.5" x14ac:dyDescent="0.85">
      <c r="A1001" s="20">
        <v>1</v>
      </c>
      <c r="B1001" s="66">
        <f>SUBTOTAL(103,$A$948:A1001)</f>
        <v>54</v>
      </c>
      <c r="C1001" s="24" t="s">
        <v>623</v>
      </c>
      <c r="D1001" s="31">
        <f t="shared" si="212"/>
        <v>3550462.6100000003</v>
      </c>
      <c r="E1001" s="31">
        <v>0</v>
      </c>
      <c r="F1001" s="31">
        <v>0</v>
      </c>
      <c r="G1001" s="31">
        <v>0</v>
      </c>
      <c r="H1001" s="31">
        <v>0</v>
      </c>
      <c r="I1001" s="31">
        <v>0</v>
      </c>
      <c r="J1001" s="31">
        <v>0</v>
      </c>
      <c r="K1001" s="33">
        <v>0</v>
      </c>
      <c r="L1001" s="31">
        <v>0</v>
      </c>
      <c r="M1001" s="31">
        <v>807.01</v>
      </c>
      <c r="N1001" s="31">
        <v>3497992.72</v>
      </c>
      <c r="O1001" s="31">
        <v>0</v>
      </c>
      <c r="P1001" s="31">
        <v>0</v>
      </c>
      <c r="Q1001" s="31">
        <v>0</v>
      </c>
      <c r="R1001" s="31">
        <v>0</v>
      </c>
      <c r="S1001" s="31">
        <v>0</v>
      </c>
      <c r="T1001" s="31">
        <v>0</v>
      </c>
      <c r="U1001" s="31">
        <v>0</v>
      </c>
      <c r="V1001" s="31">
        <v>0</v>
      </c>
      <c r="W1001" s="31">
        <v>0</v>
      </c>
      <c r="X1001" s="31">
        <v>0</v>
      </c>
      <c r="Y1001" s="31">
        <v>0</v>
      </c>
      <c r="Z1001" s="31">
        <v>0</v>
      </c>
      <c r="AA1001" s="31">
        <v>0</v>
      </c>
      <c r="AB1001" s="31">
        <v>0</v>
      </c>
      <c r="AC1001" s="31">
        <v>52469.89</v>
      </c>
      <c r="AD1001" s="31">
        <v>0</v>
      </c>
      <c r="AE1001" s="31">
        <v>0</v>
      </c>
      <c r="AF1001" s="34" t="s">
        <v>274</v>
      </c>
      <c r="AG1001" s="34">
        <v>2022</v>
      </c>
      <c r="AH1001" s="35">
        <v>2022</v>
      </c>
      <c r="AT1001" s="20" t="e">
        <f t="shared" ref="AT1001:AT1020" si="215">VLOOKUP(C1001,AW:AX,2,FALSE)</f>
        <v>#N/A</v>
      </c>
      <c r="BZ1001" s="71"/>
    </row>
    <row r="1002" spans="1:80" ht="61.5" x14ac:dyDescent="0.85">
      <c r="A1002" s="20">
        <v>1</v>
      </c>
      <c r="B1002" s="66">
        <f>SUBTOTAL(103,$A$948:A1002)</f>
        <v>55</v>
      </c>
      <c r="C1002" s="24" t="s">
        <v>624</v>
      </c>
      <c r="D1002" s="31">
        <f t="shared" si="212"/>
        <v>4265711.66</v>
      </c>
      <c r="E1002" s="31">
        <v>0</v>
      </c>
      <c r="F1002" s="31">
        <v>0</v>
      </c>
      <c r="G1002" s="31">
        <v>0</v>
      </c>
      <c r="H1002" s="31">
        <v>0</v>
      </c>
      <c r="I1002" s="31">
        <v>0</v>
      </c>
      <c r="J1002" s="31">
        <v>0</v>
      </c>
      <c r="K1002" s="33">
        <v>0</v>
      </c>
      <c r="L1002" s="31">
        <v>0</v>
      </c>
      <c r="M1002" s="31">
        <v>975</v>
      </c>
      <c r="N1002" s="31">
        <v>4202671.59</v>
      </c>
      <c r="O1002" s="31">
        <v>0</v>
      </c>
      <c r="P1002" s="31">
        <v>0</v>
      </c>
      <c r="Q1002" s="31">
        <v>0</v>
      </c>
      <c r="R1002" s="31">
        <v>0</v>
      </c>
      <c r="S1002" s="31">
        <v>0</v>
      </c>
      <c r="T1002" s="31">
        <v>0</v>
      </c>
      <c r="U1002" s="31">
        <v>0</v>
      </c>
      <c r="V1002" s="31">
        <v>0</v>
      </c>
      <c r="W1002" s="31">
        <v>0</v>
      </c>
      <c r="X1002" s="31">
        <v>0</v>
      </c>
      <c r="Y1002" s="31">
        <v>0</v>
      </c>
      <c r="Z1002" s="31">
        <v>0</v>
      </c>
      <c r="AA1002" s="31">
        <v>0</v>
      </c>
      <c r="AB1002" s="31">
        <v>0</v>
      </c>
      <c r="AC1002" s="31">
        <v>63040.07</v>
      </c>
      <c r="AD1002" s="31">
        <v>0</v>
      </c>
      <c r="AE1002" s="31">
        <v>0</v>
      </c>
      <c r="AF1002" s="34" t="s">
        <v>274</v>
      </c>
      <c r="AG1002" s="34">
        <v>2022</v>
      </c>
      <c r="AH1002" s="35">
        <v>2022</v>
      </c>
      <c r="AT1002" s="20" t="e">
        <f t="shared" si="215"/>
        <v>#N/A</v>
      </c>
      <c r="BZ1002" s="71"/>
    </row>
    <row r="1003" spans="1:80" ht="61.5" x14ac:dyDescent="0.85">
      <c r="A1003" s="20">
        <v>1</v>
      </c>
      <c r="B1003" s="66">
        <f>SUBTOTAL(103,$A$948:A1003)</f>
        <v>56</v>
      </c>
      <c r="C1003" s="24" t="s">
        <v>625</v>
      </c>
      <c r="D1003" s="31">
        <f t="shared" si="212"/>
        <v>3545858.66</v>
      </c>
      <c r="E1003" s="31">
        <v>0</v>
      </c>
      <c r="F1003" s="31">
        <v>0</v>
      </c>
      <c r="G1003" s="31">
        <v>0</v>
      </c>
      <c r="H1003" s="31">
        <v>0</v>
      </c>
      <c r="I1003" s="31">
        <v>0</v>
      </c>
      <c r="J1003" s="31">
        <v>0</v>
      </c>
      <c r="K1003" s="33">
        <v>0</v>
      </c>
      <c r="L1003" s="31">
        <v>0</v>
      </c>
      <c r="M1003" s="31">
        <v>771.25</v>
      </c>
      <c r="N1003" s="31">
        <v>3493456.81</v>
      </c>
      <c r="O1003" s="31">
        <v>0</v>
      </c>
      <c r="P1003" s="31">
        <v>0</v>
      </c>
      <c r="Q1003" s="31">
        <v>0</v>
      </c>
      <c r="R1003" s="31">
        <v>0</v>
      </c>
      <c r="S1003" s="31">
        <v>0</v>
      </c>
      <c r="T1003" s="31">
        <v>0</v>
      </c>
      <c r="U1003" s="31">
        <v>0</v>
      </c>
      <c r="V1003" s="31">
        <v>0</v>
      </c>
      <c r="W1003" s="31">
        <v>0</v>
      </c>
      <c r="X1003" s="31">
        <v>0</v>
      </c>
      <c r="Y1003" s="31">
        <v>0</v>
      </c>
      <c r="Z1003" s="31">
        <v>0</v>
      </c>
      <c r="AA1003" s="31">
        <v>0</v>
      </c>
      <c r="AB1003" s="31">
        <v>0</v>
      </c>
      <c r="AC1003" s="31">
        <v>52401.85</v>
      </c>
      <c r="AD1003" s="31">
        <v>0</v>
      </c>
      <c r="AE1003" s="31">
        <v>0</v>
      </c>
      <c r="AF1003" s="34" t="s">
        <v>274</v>
      </c>
      <c r="AG1003" s="34">
        <v>2022</v>
      </c>
      <c r="AH1003" s="35">
        <v>2022</v>
      </c>
      <c r="AT1003" s="20" t="e">
        <f t="shared" si="215"/>
        <v>#N/A</v>
      </c>
      <c r="BZ1003" s="71"/>
    </row>
    <row r="1004" spans="1:80" ht="61.5" x14ac:dyDescent="0.85">
      <c r="A1004" s="20">
        <v>1</v>
      </c>
      <c r="B1004" s="66">
        <f>SUBTOTAL(103,$A$948:A1004)</f>
        <v>57</v>
      </c>
      <c r="C1004" s="24" t="s">
        <v>626</v>
      </c>
      <c r="D1004" s="31">
        <f t="shared" si="212"/>
        <v>4460834.87</v>
      </c>
      <c r="E1004" s="31">
        <v>0</v>
      </c>
      <c r="F1004" s="31">
        <v>0</v>
      </c>
      <c r="G1004" s="31">
        <v>0</v>
      </c>
      <c r="H1004" s="31">
        <v>0</v>
      </c>
      <c r="I1004" s="31">
        <v>0</v>
      </c>
      <c r="J1004" s="31">
        <v>0</v>
      </c>
      <c r="K1004" s="33">
        <v>0</v>
      </c>
      <c r="L1004" s="31">
        <v>0</v>
      </c>
      <c r="M1004" s="31">
        <v>963.75</v>
      </c>
      <c r="N1004" s="31">
        <v>4394911.2</v>
      </c>
      <c r="O1004" s="31">
        <v>0</v>
      </c>
      <c r="P1004" s="31">
        <v>0</v>
      </c>
      <c r="Q1004" s="31">
        <v>0</v>
      </c>
      <c r="R1004" s="31">
        <v>0</v>
      </c>
      <c r="S1004" s="31">
        <v>0</v>
      </c>
      <c r="T1004" s="31">
        <v>0</v>
      </c>
      <c r="U1004" s="31">
        <v>0</v>
      </c>
      <c r="V1004" s="31">
        <v>0</v>
      </c>
      <c r="W1004" s="31">
        <v>0</v>
      </c>
      <c r="X1004" s="31">
        <v>0</v>
      </c>
      <c r="Y1004" s="31">
        <v>0</v>
      </c>
      <c r="Z1004" s="31">
        <v>0</v>
      </c>
      <c r="AA1004" s="31">
        <v>0</v>
      </c>
      <c r="AB1004" s="31">
        <v>0</v>
      </c>
      <c r="AC1004" s="31">
        <v>65923.67</v>
      </c>
      <c r="AD1004" s="31">
        <v>0</v>
      </c>
      <c r="AE1004" s="31">
        <v>0</v>
      </c>
      <c r="AF1004" s="34" t="s">
        <v>274</v>
      </c>
      <c r="AG1004" s="34">
        <v>2022</v>
      </c>
      <c r="AH1004" s="35">
        <v>2022</v>
      </c>
      <c r="AT1004" s="20" t="e">
        <f t="shared" si="215"/>
        <v>#N/A</v>
      </c>
      <c r="BZ1004" s="71"/>
    </row>
    <row r="1005" spans="1:80" ht="61.5" x14ac:dyDescent="0.85">
      <c r="A1005" s="20">
        <v>1</v>
      </c>
      <c r="B1005" s="66">
        <f>SUBTOTAL(103,$A$948:A1005)</f>
        <v>58</v>
      </c>
      <c r="C1005" s="24" t="s">
        <v>507</v>
      </c>
      <c r="D1005" s="31">
        <f t="shared" si="212"/>
        <v>2100000</v>
      </c>
      <c r="E1005" s="31">
        <v>0</v>
      </c>
      <c r="F1005" s="31">
        <v>0</v>
      </c>
      <c r="G1005" s="31">
        <v>0</v>
      </c>
      <c r="H1005" s="31">
        <v>0</v>
      </c>
      <c r="I1005" s="31">
        <v>0</v>
      </c>
      <c r="J1005" s="31">
        <v>0</v>
      </c>
      <c r="K1005" s="33">
        <v>1</v>
      </c>
      <c r="L1005" s="31">
        <v>2100000</v>
      </c>
      <c r="M1005" s="31">
        <v>0</v>
      </c>
      <c r="N1005" s="31">
        <v>0</v>
      </c>
      <c r="O1005" s="31">
        <v>0</v>
      </c>
      <c r="P1005" s="31">
        <v>0</v>
      </c>
      <c r="Q1005" s="31">
        <v>0</v>
      </c>
      <c r="R1005" s="31">
        <v>0</v>
      </c>
      <c r="S1005" s="31">
        <v>0</v>
      </c>
      <c r="T1005" s="31">
        <v>0</v>
      </c>
      <c r="U1005" s="31">
        <v>0</v>
      </c>
      <c r="V1005" s="31">
        <v>0</v>
      </c>
      <c r="W1005" s="31">
        <v>0</v>
      </c>
      <c r="X1005" s="31">
        <v>0</v>
      </c>
      <c r="Y1005" s="31">
        <v>0</v>
      </c>
      <c r="Z1005" s="31">
        <v>0</v>
      </c>
      <c r="AA1005" s="31">
        <v>0</v>
      </c>
      <c r="AB1005" s="31">
        <v>0</v>
      </c>
      <c r="AC1005" s="31">
        <v>0</v>
      </c>
      <c r="AD1005" s="31">
        <v>0</v>
      </c>
      <c r="AE1005" s="31">
        <v>0</v>
      </c>
      <c r="AF1005" s="34" t="s">
        <v>274</v>
      </c>
      <c r="AG1005" s="34">
        <v>2022</v>
      </c>
      <c r="AH1005" s="35" t="s">
        <v>274</v>
      </c>
      <c r="AT1005" s="20" t="e">
        <f t="shared" si="215"/>
        <v>#N/A</v>
      </c>
      <c r="BZ1005" s="71"/>
    </row>
    <row r="1006" spans="1:80" ht="61.5" x14ac:dyDescent="0.85">
      <c r="A1006" s="20">
        <v>1</v>
      </c>
      <c r="B1006" s="66">
        <f>SUBTOTAL(103,$A$948:A1006)</f>
        <v>59</v>
      </c>
      <c r="C1006" s="24" t="s">
        <v>1097</v>
      </c>
      <c r="D1006" s="31">
        <f t="shared" si="212"/>
        <v>6300000</v>
      </c>
      <c r="E1006" s="31">
        <v>0</v>
      </c>
      <c r="F1006" s="31">
        <v>0</v>
      </c>
      <c r="G1006" s="31">
        <v>0</v>
      </c>
      <c r="H1006" s="31">
        <v>0</v>
      </c>
      <c r="I1006" s="31">
        <v>0</v>
      </c>
      <c r="J1006" s="31">
        <v>0</v>
      </c>
      <c r="K1006" s="33">
        <v>3</v>
      </c>
      <c r="L1006" s="31">
        <v>6300000</v>
      </c>
      <c r="M1006" s="31">
        <v>0</v>
      </c>
      <c r="N1006" s="31">
        <v>0</v>
      </c>
      <c r="O1006" s="31">
        <v>0</v>
      </c>
      <c r="P1006" s="31">
        <v>0</v>
      </c>
      <c r="Q1006" s="31">
        <v>0</v>
      </c>
      <c r="R1006" s="31">
        <v>0</v>
      </c>
      <c r="S1006" s="31">
        <v>0</v>
      </c>
      <c r="T1006" s="31">
        <v>0</v>
      </c>
      <c r="U1006" s="31">
        <v>0</v>
      </c>
      <c r="V1006" s="31">
        <v>0</v>
      </c>
      <c r="W1006" s="31">
        <v>0</v>
      </c>
      <c r="X1006" s="31">
        <v>0</v>
      </c>
      <c r="Y1006" s="31">
        <v>0</v>
      </c>
      <c r="Z1006" s="31">
        <v>0</v>
      </c>
      <c r="AA1006" s="31">
        <v>0</v>
      </c>
      <c r="AB1006" s="31">
        <v>0</v>
      </c>
      <c r="AC1006" s="31">
        <v>0</v>
      </c>
      <c r="AD1006" s="31">
        <v>0</v>
      </c>
      <c r="AE1006" s="31">
        <v>0</v>
      </c>
      <c r="AF1006" s="34" t="s">
        <v>274</v>
      </c>
      <c r="AG1006" s="34">
        <v>2022</v>
      </c>
      <c r="AH1006" s="35" t="s">
        <v>274</v>
      </c>
      <c r="AT1006" s="20" t="e">
        <f t="shared" si="215"/>
        <v>#N/A</v>
      </c>
      <c r="BZ1006" s="71"/>
    </row>
    <row r="1007" spans="1:80" ht="61.5" x14ac:dyDescent="0.85">
      <c r="B1007" s="24" t="s">
        <v>781</v>
      </c>
      <c r="C1007" s="166"/>
      <c r="D1007" s="31">
        <f>SUM(D1008:D1021)</f>
        <v>45048314.759999998</v>
      </c>
      <c r="E1007" s="31">
        <f t="shared" ref="E1007:AE1007" si="216">SUM(E1008:E1021)</f>
        <v>0</v>
      </c>
      <c r="F1007" s="31">
        <f t="shared" si="216"/>
        <v>0</v>
      </c>
      <c r="G1007" s="31">
        <f t="shared" si="216"/>
        <v>0</v>
      </c>
      <c r="H1007" s="31">
        <f t="shared" si="216"/>
        <v>415281.24</v>
      </c>
      <c r="I1007" s="31">
        <f t="shared" si="216"/>
        <v>0</v>
      </c>
      <c r="J1007" s="31">
        <f t="shared" si="216"/>
        <v>0</v>
      </c>
      <c r="K1007" s="33">
        <f t="shared" si="216"/>
        <v>0</v>
      </c>
      <c r="L1007" s="31">
        <f t="shared" si="216"/>
        <v>0</v>
      </c>
      <c r="M1007" s="31">
        <f t="shared" si="216"/>
        <v>7862.4100000000008</v>
      </c>
      <c r="N1007" s="31">
        <f t="shared" si="216"/>
        <v>41918033.790000007</v>
      </c>
      <c r="O1007" s="31">
        <f t="shared" si="216"/>
        <v>0</v>
      </c>
      <c r="P1007" s="31">
        <f t="shared" si="216"/>
        <v>0</v>
      </c>
      <c r="Q1007" s="31">
        <f t="shared" si="216"/>
        <v>0</v>
      </c>
      <c r="R1007" s="31">
        <f t="shared" si="216"/>
        <v>0</v>
      </c>
      <c r="S1007" s="31">
        <f t="shared" si="216"/>
        <v>0</v>
      </c>
      <c r="T1007" s="31">
        <f t="shared" si="216"/>
        <v>0</v>
      </c>
      <c r="U1007" s="31">
        <f t="shared" si="216"/>
        <v>0</v>
      </c>
      <c r="V1007" s="31">
        <f t="shared" si="216"/>
        <v>0</v>
      </c>
      <c r="W1007" s="31">
        <f t="shared" si="216"/>
        <v>0</v>
      </c>
      <c r="X1007" s="31">
        <f t="shared" si="216"/>
        <v>0</v>
      </c>
      <c r="Y1007" s="31">
        <f t="shared" si="216"/>
        <v>0</v>
      </c>
      <c r="Z1007" s="31">
        <f t="shared" si="216"/>
        <v>0</v>
      </c>
      <c r="AA1007" s="31">
        <f t="shared" si="216"/>
        <v>0</v>
      </c>
      <c r="AB1007" s="31">
        <f t="shared" si="216"/>
        <v>0</v>
      </c>
      <c r="AC1007" s="31">
        <f t="shared" si="216"/>
        <v>634999.73</v>
      </c>
      <c r="AD1007" s="31">
        <f t="shared" si="216"/>
        <v>1960000</v>
      </c>
      <c r="AE1007" s="31">
        <f t="shared" si="216"/>
        <v>120000</v>
      </c>
      <c r="AF1007" s="72" t="s">
        <v>776</v>
      </c>
      <c r="AG1007" s="72" t="s">
        <v>776</v>
      </c>
      <c r="AH1007" s="89" t="s">
        <v>776</v>
      </c>
      <c r="AT1007" s="20" t="e">
        <f t="shared" si="215"/>
        <v>#N/A</v>
      </c>
      <c r="BZ1007" s="31">
        <v>45048314.759999998</v>
      </c>
      <c r="CA1007" s="31"/>
      <c r="CB1007" s="31">
        <f>BZ1007-D1007</f>
        <v>0</v>
      </c>
    </row>
    <row r="1008" spans="1:80" ht="61.5" x14ac:dyDescent="0.85">
      <c r="A1008" s="20">
        <v>1</v>
      </c>
      <c r="B1008" s="66">
        <f>SUBTOTAL(103,$A$948:A1008)</f>
        <v>60</v>
      </c>
      <c r="C1008" s="24" t="s">
        <v>477</v>
      </c>
      <c r="D1008" s="31">
        <f t="shared" ref="D1008:D1021" si="217">E1008+F1008+G1008+H1008+I1008+J1008+L1008+N1008+P1008+R1008+T1008+U1008+V1008+W1008+X1008+Y1008+Z1008+AA1008+AB1008+AC1008+AD1008+AE1008</f>
        <v>3951259.39</v>
      </c>
      <c r="E1008" s="32">
        <v>0</v>
      </c>
      <c r="F1008" s="32">
        <v>0</v>
      </c>
      <c r="G1008" s="32">
        <v>0</v>
      </c>
      <c r="H1008" s="32">
        <v>0</v>
      </c>
      <c r="I1008" s="32">
        <v>0</v>
      </c>
      <c r="J1008" s="32">
        <v>0</v>
      </c>
      <c r="K1008" s="85">
        <v>0</v>
      </c>
      <c r="L1008" s="32">
        <v>0</v>
      </c>
      <c r="M1008" s="31">
        <v>648.4</v>
      </c>
      <c r="N1008" s="31">
        <v>3745083.14</v>
      </c>
      <c r="O1008" s="32">
        <v>0</v>
      </c>
      <c r="P1008" s="32">
        <v>0</v>
      </c>
      <c r="Q1008" s="32">
        <v>0</v>
      </c>
      <c r="R1008" s="32">
        <v>0</v>
      </c>
      <c r="S1008" s="32">
        <v>0</v>
      </c>
      <c r="T1008" s="32">
        <v>0</v>
      </c>
      <c r="U1008" s="32">
        <v>0</v>
      </c>
      <c r="V1008" s="32">
        <v>0</v>
      </c>
      <c r="W1008" s="32">
        <v>0</v>
      </c>
      <c r="X1008" s="32">
        <v>0</v>
      </c>
      <c r="Y1008" s="32">
        <v>0</v>
      </c>
      <c r="Z1008" s="32">
        <v>0</v>
      </c>
      <c r="AA1008" s="31">
        <v>0</v>
      </c>
      <c r="AB1008" s="31">
        <v>0</v>
      </c>
      <c r="AC1008" s="31">
        <f>ROUND(N1008*1.5%,2)</f>
        <v>56176.25</v>
      </c>
      <c r="AD1008" s="31">
        <v>150000</v>
      </c>
      <c r="AE1008" s="31">
        <v>0</v>
      </c>
      <c r="AF1008" s="34">
        <v>2022</v>
      </c>
      <c r="AG1008" s="34">
        <v>2022</v>
      </c>
      <c r="AH1008" s="35">
        <v>2022</v>
      </c>
      <c r="AT1008" s="20" t="e">
        <f t="shared" si="215"/>
        <v>#N/A</v>
      </c>
      <c r="BZ1008" s="71"/>
    </row>
    <row r="1009" spans="1:78" ht="61.5" x14ac:dyDescent="0.85">
      <c r="A1009" s="20">
        <v>1</v>
      </c>
      <c r="B1009" s="66">
        <f>SUBTOTAL(103,$A$948:A1009)</f>
        <v>61</v>
      </c>
      <c r="C1009" s="24" t="s">
        <v>478</v>
      </c>
      <c r="D1009" s="31">
        <f t="shared" si="217"/>
        <v>2999201</v>
      </c>
      <c r="E1009" s="32">
        <v>0</v>
      </c>
      <c r="F1009" s="32">
        <v>0</v>
      </c>
      <c r="G1009" s="32">
        <v>0</v>
      </c>
      <c r="H1009" s="32">
        <v>0</v>
      </c>
      <c r="I1009" s="32">
        <v>0</v>
      </c>
      <c r="J1009" s="32">
        <v>0</v>
      </c>
      <c r="K1009" s="85">
        <v>0</v>
      </c>
      <c r="L1009" s="32">
        <v>0</v>
      </c>
      <c r="M1009" s="31">
        <v>547</v>
      </c>
      <c r="N1009" s="31">
        <v>2807094.58</v>
      </c>
      <c r="O1009" s="32">
        <v>0</v>
      </c>
      <c r="P1009" s="32">
        <v>0</v>
      </c>
      <c r="Q1009" s="32">
        <v>0</v>
      </c>
      <c r="R1009" s="32">
        <v>0</v>
      </c>
      <c r="S1009" s="32">
        <v>0</v>
      </c>
      <c r="T1009" s="32">
        <v>0</v>
      </c>
      <c r="U1009" s="32">
        <v>0</v>
      </c>
      <c r="V1009" s="32">
        <v>0</v>
      </c>
      <c r="W1009" s="32">
        <v>0</v>
      </c>
      <c r="X1009" s="32">
        <v>0</v>
      </c>
      <c r="Y1009" s="32">
        <v>0</v>
      </c>
      <c r="Z1009" s="32">
        <v>0</v>
      </c>
      <c r="AA1009" s="31">
        <v>0</v>
      </c>
      <c r="AB1009" s="31">
        <v>0</v>
      </c>
      <c r="AC1009" s="31">
        <f>ROUND(N1009*1.5%,2)</f>
        <v>42106.42</v>
      </c>
      <c r="AD1009" s="31">
        <v>150000</v>
      </c>
      <c r="AE1009" s="31">
        <v>0</v>
      </c>
      <c r="AF1009" s="34">
        <v>2022</v>
      </c>
      <c r="AG1009" s="34">
        <v>2022</v>
      </c>
      <c r="AH1009" s="35">
        <v>2022</v>
      </c>
      <c r="AT1009" s="20" t="e">
        <f t="shared" si="215"/>
        <v>#N/A</v>
      </c>
      <c r="BZ1009" s="71"/>
    </row>
    <row r="1010" spans="1:78" ht="61.5" x14ac:dyDescent="0.85">
      <c r="A1010" s="20">
        <v>1</v>
      </c>
      <c r="B1010" s="66">
        <f>SUBTOTAL(103,$A$948:A1010)</f>
        <v>62</v>
      </c>
      <c r="C1010" s="24" t="s">
        <v>479</v>
      </c>
      <c r="D1010" s="31">
        <f t="shared" si="217"/>
        <v>2584541.12</v>
      </c>
      <c r="E1010" s="32">
        <v>0</v>
      </c>
      <c r="F1010" s="32">
        <v>0</v>
      </c>
      <c r="G1010" s="32">
        <v>0</v>
      </c>
      <c r="H1010" s="32">
        <v>0</v>
      </c>
      <c r="I1010" s="32">
        <v>0</v>
      </c>
      <c r="J1010" s="32">
        <v>0</v>
      </c>
      <c r="K1010" s="85">
        <v>0</v>
      </c>
      <c r="L1010" s="32">
        <v>0</v>
      </c>
      <c r="M1010" s="31">
        <v>493.2</v>
      </c>
      <c r="N1010" s="31">
        <v>2428119.33</v>
      </c>
      <c r="O1010" s="32">
        <v>0</v>
      </c>
      <c r="P1010" s="32">
        <v>0</v>
      </c>
      <c r="Q1010" s="32">
        <v>0</v>
      </c>
      <c r="R1010" s="32">
        <v>0</v>
      </c>
      <c r="S1010" s="32">
        <v>0</v>
      </c>
      <c r="T1010" s="32">
        <v>0</v>
      </c>
      <c r="U1010" s="32">
        <v>0</v>
      </c>
      <c r="V1010" s="32">
        <v>0</v>
      </c>
      <c r="W1010" s="32">
        <v>0</v>
      </c>
      <c r="X1010" s="32">
        <v>0</v>
      </c>
      <c r="Y1010" s="32">
        <v>0</v>
      </c>
      <c r="Z1010" s="32">
        <v>0</v>
      </c>
      <c r="AA1010" s="31">
        <v>0</v>
      </c>
      <c r="AB1010" s="31">
        <v>0</v>
      </c>
      <c r="AC1010" s="31">
        <f>ROUND(N1010*1.5%,2)</f>
        <v>36421.79</v>
      </c>
      <c r="AD1010" s="31">
        <v>120000</v>
      </c>
      <c r="AE1010" s="31">
        <v>0</v>
      </c>
      <c r="AF1010" s="34">
        <v>2022</v>
      </c>
      <c r="AG1010" s="34">
        <v>2022</v>
      </c>
      <c r="AH1010" s="35">
        <v>2022</v>
      </c>
      <c r="AT1010" s="20" t="e">
        <f t="shared" si="215"/>
        <v>#N/A</v>
      </c>
      <c r="BZ1010" s="71"/>
    </row>
    <row r="1011" spans="1:78" ht="61.5" x14ac:dyDescent="0.85">
      <c r="A1011" s="20">
        <v>1</v>
      </c>
      <c r="B1011" s="66">
        <f>SUBTOTAL(103,$A$948:A1011)</f>
        <v>63</v>
      </c>
      <c r="C1011" s="24" t="s">
        <v>480</v>
      </c>
      <c r="D1011" s="31">
        <f t="shared" si="217"/>
        <v>6581549.3999999994</v>
      </c>
      <c r="E1011" s="32">
        <v>0</v>
      </c>
      <c r="F1011" s="32">
        <v>0</v>
      </c>
      <c r="G1011" s="32">
        <v>0</v>
      </c>
      <c r="H1011" s="32">
        <v>0</v>
      </c>
      <c r="I1011" s="32">
        <v>0</v>
      </c>
      <c r="J1011" s="32">
        <v>0</v>
      </c>
      <c r="K1011" s="85">
        <v>0</v>
      </c>
      <c r="L1011" s="32">
        <v>0</v>
      </c>
      <c r="M1011" s="31">
        <v>1130</v>
      </c>
      <c r="N1011" s="31">
        <v>6306945.2199999997</v>
      </c>
      <c r="O1011" s="32">
        <v>0</v>
      </c>
      <c r="P1011" s="32">
        <v>0</v>
      </c>
      <c r="Q1011" s="32">
        <v>0</v>
      </c>
      <c r="R1011" s="32">
        <v>0</v>
      </c>
      <c r="S1011" s="32">
        <v>0</v>
      </c>
      <c r="T1011" s="32">
        <v>0</v>
      </c>
      <c r="U1011" s="32">
        <v>0</v>
      </c>
      <c r="V1011" s="32">
        <v>0</v>
      </c>
      <c r="W1011" s="32">
        <v>0</v>
      </c>
      <c r="X1011" s="32">
        <v>0</v>
      </c>
      <c r="Y1011" s="32">
        <v>0</v>
      </c>
      <c r="Z1011" s="32">
        <v>0</v>
      </c>
      <c r="AA1011" s="31">
        <v>0</v>
      </c>
      <c r="AB1011" s="31">
        <v>0</v>
      </c>
      <c r="AC1011" s="31">
        <f>ROUND(N1011*1.5%,2)</f>
        <v>94604.18</v>
      </c>
      <c r="AD1011" s="31">
        <v>180000</v>
      </c>
      <c r="AE1011" s="31">
        <v>0</v>
      </c>
      <c r="AF1011" s="34">
        <v>2022</v>
      </c>
      <c r="AG1011" s="34">
        <v>2022</v>
      </c>
      <c r="AH1011" s="35">
        <v>2022</v>
      </c>
      <c r="AT1011" s="20" t="e">
        <f t="shared" si="215"/>
        <v>#N/A</v>
      </c>
      <c r="BZ1011" s="71"/>
    </row>
    <row r="1012" spans="1:78" ht="61.5" x14ac:dyDescent="0.85">
      <c r="A1012" s="20">
        <v>1</v>
      </c>
      <c r="B1012" s="66">
        <f>SUBTOTAL(103,$A$948:A1012)</f>
        <v>64</v>
      </c>
      <c r="C1012" s="24" t="s">
        <v>481</v>
      </c>
      <c r="D1012" s="31">
        <f t="shared" si="217"/>
        <v>4737312</v>
      </c>
      <c r="E1012" s="32">
        <v>0</v>
      </c>
      <c r="F1012" s="32">
        <v>0</v>
      </c>
      <c r="G1012" s="32">
        <v>0</v>
      </c>
      <c r="H1012" s="32">
        <v>0</v>
      </c>
      <c r="I1012" s="32">
        <v>0</v>
      </c>
      <c r="J1012" s="32">
        <v>0</v>
      </c>
      <c r="K1012" s="85">
        <v>0</v>
      </c>
      <c r="L1012" s="32">
        <v>0</v>
      </c>
      <c r="M1012" s="31">
        <v>864</v>
      </c>
      <c r="N1012" s="31">
        <v>4519519.21</v>
      </c>
      <c r="O1012" s="32">
        <v>0</v>
      </c>
      <c r="P1012" s="32">
        <v>0</v>
      </c>
      <c r="Q1012" s="32">
        <v>0</v>
      </c>
      <c r="R1012" s="32">
        <v>0</v>
      </c>
      <c r="S1012" s="32">
        <v>0</v>
      </c>
      <c r="T1012" s="32">
        <v>0</v>
      </c>
      <c r="U1012" s="32">
        <v>0</v>
      </c>
      <c r="V1012" s="32">
        <v>0</v>
      </c>
      <c r="W1012" s="32">
        <v>0</v>
      </c>
      <c r="X1012" s="32">
        <v>0</v>
      </c>
      <c r="Y1012" s="32">
        <v>0</v>
      </c>
      <c r="Z1012" s="32">
        <v>0</v>
      </c>
      <c r="AA1012" s="31">
        <v>0</v>
      </c>
      <c r="AB1012" s="31">
        <v>0</v>
      </c>
      <c r="AC1012" s="31">
        <f>ROUND(N1012*1.5%,2)</f>
        <v>67792.789999999994</v>
      </c>
      <c r="AD1012" s="31">
        <v>150000</v>
      </c>
      <c r="AE1012" s="31">
        <v>0</v>
      </c>
      <c r="AF1012" s="34">
        <v>2022</v>
      </c>
      <c r="AG1012" s="34">
        <v>2022</v>
      </c>
      <c r="AH1012" s="35">
        <v>2022</v>
      </c>
      <c r="AT1012" s="20" t="e">
        <f t="shared" si="215"/>
        <v>#N/A</v>
      </c>
      <c r="BZ1012" s="71"/>
    </row>
    <row r="1013" spans="1:78" ht="61.5" x14ac:dyDescent="0.85">
      <c r="A1013" s="20">
        <v>1</v>
      </c>
      <c r="B1013" s="66">
        <f>SUBTOTAL(103,$A$948:A1013)</f>
        <v>65</v>
      </c>
      <c r="C1013" s="24" t="s">
        <v>482</v>
      </c>
      <c r="D1013" s="31">
        <f t="shared" si="217"/>
        <v>491510.45999999996</v>
      </c>
      <c r="E1013" s="32">
        <v>0</v>
      </c>
      <c r="F1013" s="32">
        <v>0</v>
      </c>
      <c r="G1013" s="32">
        <v>0</v>
      </c>
      <c r="H1013" s="31">
        <v>415281.24</v>
      </c>
      <c r="I1013" s="32">
        <v>0</v>
      </c>
      <c r="J1013" s="32">
        <v>0</v>
      </c>
      <c r="K1013" s="85">
        <v>0</v>
      </c>
      <c r="L1013" s="32">
        <v>0</v>
      </c>
      <c r="M1013" s="31">
        <v>0</v>
      </c>
      <c r="N1013" s="31">
        <v>0</v>
      </c>
      <c r="O1013" s="32">
        <v>0</v>
      </c>
      <c r="P1013" s="32">
        <v>0</v>
      </c>
      <c r="Q1013" s="32">
        <v>0</v>
      </c>
      <c r="R1013" s="32">
        <v>0</v>
      </c>
      <c r="S1013" s="32">
        <v>0</v>
      </c>
      <c r="T1013" s="32">
        <v>0</v>
      </c>
      <c r="U1013" s="32">
        <v>0</v>
      </c>
      <c r="V1013" s="32">
        <v>0</v>
      </c>
      <c r="W1013" s="32">
        <v>0</v>
      </c>
      <c r="X1013" s="32">
        <v>0</v>
      </c>
      <c r="Y1013" s="32">
        <v>0</v>
      </c>
      <c r="Z1013" s="32">
        <v>0</v>
      </c>
      <c r="AA1013" s="31">
        <v>0</v>
      </c>
      <c r="AB1013" s="31">
        <v>0</v>
      </c>
      <c r="AC1013" s="31">
        <f>ROUND((E1013+F1013+G1013+H1013+I1013+J1013)*1.5%,2)</f>
        <v>6229.22</v>
      </c>
      <c r="AD1013" s="31">
        <v>70000</v>
      </c>
      <c r="AE1013" s="31">
        <v>0</v>
      </c>
      <c r="AF1013" s="34">
        <v>2022</v>
      </c>
      <c r="AG1013" s="34">
        <v>2022</v>
      </c>
      <c r="AH1013" s="35">
        <v>2022</v>
      </c>
      <c r="AT1013" s="20" t="e">
        <f t="shared" si="215"/>
        <v>#N/A</v>
      </c>
      <c r="BZ1013" s="71"/>
    </row>
    <row r="1014" spans="1:78" ht="61.5" x14ac:dyDescent="0.85">
      <c r="A1014" s="20">
        <v>1</v>
      </c>
      <c r="B1014" s="66">
        <f>SUBTOTAL(103,$A$948:A1014)</f>
        <v>66</v>
      </c>
      <c r="C1014" s="24" t="s">
        <v>483</v>
      </c>
      <c r="D1014" s="31">
        <f t="shared" si="217"/>
        <v>3422817.5799999996</v>
      </c>
      <c r="E1014" s="32">
        <v>0</v>
      </c>
      <c r="F1014" s="32">
        <v>0</v>
      </c>
      <c r="G1014" s="32">
        <v>0</v>
      </c>
      <c r="H1014" s="32">
        <v>0</v>
      </c>
      <c r="I1014" s="32">
        <v>0</v>
      </c>
      <c r="J1014" s="32">
        <v>0</v>
      </c>
      <c r="K1014" s="85">
        <v>0</v>
      </c>
      <c r="L1014" s="32">
        <v>0</v>
      </c>
      <c r="M1014" s="31">
        <v>624.26</v>
      </c>
      <c r="N1014" s="31">
        <v>3224450.82</v>
      </c>
      <c r="O1014" s="32">
        <v>0</v>
      </c>
      <c r="P1014" s="32">
        <v>0</v>
      </c>
      <c r="Q1014" s="32">
        <v>0</v>
      </c>
      <c r="R1014" s="32">
        <v>0</v>
      </c>
      <c r="S1014" s="32">
        <v>0</v>
      </c>
      <c r="T1014" s="32">
        <v>0</v>
      </c>
      <c r="U1014" s="32">
        <v>0</v>
      </c>
      <c r="V1014" s="32">
        <v>0</v>
      </c>
      <c r="W1014" s="32">
        <v>0</v>
      </c>
      <c r="X1014" s="32">
        <v>0</v>
      </c>
      <c r="Y1014" s="32">
        <v>0</v>
      </c>
      <c r="Z1014" s="32">
        <v>0</v>
      </c>
      <c r="AA1014" s="31">
        <v>0</v>
      </c>
      <c r="AB1014" s="31">
        <v>0</v>
      </c>
      <c r="AC1014" s="31">
        <f t="shared" ref="AC1014:AC1019" si="218">ROUND(N1014*1.5%,2)</f>
        <v>48366.76</v>
      </c>
      <c r="AD1014" s="31">
        <v>150000</v>
      </c>
      <c r="AE1014" s="31">
        <v>0</v>
      </c>
      <c r="AF1014" s="34">
        <v>2022</v>
      </c>
      <c r="AG1014" s="34">
        <v>2022</v>
      </c>
      <c r="AH1014" s="35">
        <v>2022</v>
      </c>
      <c r="AT1014" s="20" t="e">
        <f t="shared" si="215"/>
        <v>#N/A</v>
      </c>
      <c r="BZ1014" s="71"/>
    </row>
    <row r="1015" spans="1:78" ht="61.5" x14ac:dyDescent="0.85">
      <c r="A1015" s="20">
        <v>1</v>
      </c>
      <c r="B1015" s="66">
        <f>SUBTOTAL(103,$A$948:A1015)</f>
        <v>67</v>
      </c>
      <c r="C1015" s="24" t="s">
        <v>484</v>
      </c>
      <c r="D1015" s="31">
        <f t="shared" si="217"/>
        <v>2888444.4</v>
      </c>
      <c r="E1015" s="32">
        <v>0</v>
      </c>
      <c r="F1015" s="32">
        <v>0</v>
      </c>
      <c r="G1015" s="32">
        <v>0</v>
      </c>
      <c r="H1015" s="32">
        <v>0</v>
      </c>
      <c r="I1015" s="32">
        <v>0</v>
      </c>
      <c r="J1015" s="32">
        <v>0</v>
      </c>
      <c r="K1015" s="85">
        <v>0</v>
      </c>
      <c r="L1015" s="32">
        <v>0</v>
      </c>
      <c r="M1015" s="31">
        <v>526.79999999999995</v>
      </c>
      <c r="N1015" s="31">
        <v>2697974.78</v>
      </c>
      <c r="O1015" s="32">
        <v>0</v>
      </c>
      <c r="P1015" s="32">
        <v>0</v>
      </c>
      <c r="Q1015" s="32">
        <v>0</v>
      </c>
      <c r="R1015" s="32">
        <v>0</v>
      </c>
      <c r="S1015" s="32">
        <v>0</v>
      </c>
      <c r="T1015" s="32">
        <v>0</v>
      </c>
      <c r="U1015" s="32">
        <v>0</v>
      </c>
      <c r="V1015" s="32">
        <v>0</v>
      </c>
      <c r="W1015" s="32">
        <v>0</v>
      </c>
      <c r="X1015" s="32">
        <v>0</v>
      </c>
      <c r="Y1015" s="32">
        <v>0</v>
      </c>
      <c r="Z1015" s="32">
        <v>0</v>
      </c>
      <c r="AA1015" s="31">
        <v>0</v>
      </c>
      <c r="AB1015" s="31">
        <v>0</v>
      </c>
      <c r="AC1015" s="31">
        <f t="shared" si="218"/>
        <v>40469.620000000003</v>
      </c>
      <c r="AD1015" s="31">
        <v>150000</v>
      </c>
      <c r="AE1015" s="31">
        <v>0</v>
      </c>
      <c r="AF1015" s="34">
        <v>2022</v>
      </c>
      <c r="AG1015" s="34">
        <v>2022</v>
      </c>
      <c r="AH1015" s="35">
        <v>2022</v>
      </c>
      <c r="AT1015" s="20" t="e">
        <f t="shared" si="215"/>
        <v>#N/A</v>
      </c>
      <c r="BZ1015" s="71"/>
    </row>
    <row r="1016" spans="1:78" ht="61.5" x14ac:dyDescent="0.85">
      <c r="A1016" s="20">
        <v>1</v>
      </c>
      <c r="B1016" s="66">
        <f>SUBTOTAL(103,$A$948:A1016)</f>
        <v>68</v>
      </c>
      <c r="C1016" s="24" t="s">
        <v>485</v>
      </c>
      <c r="D1016" s="31">
        <f t="shared" si="217"/>
        <v>3422817.5799999996</v>
      </c>
      <c r="E1016" s="32">
        <v>0</v>
      </c>
      <c r="F1016" s="32">
        <v>0</v>
      </c>
      <c r="G1016" s="32">
        <v>0</v>
      </c>
      <c r="H1016" s="32">
        <v>0</v>
      </c>
      <c r="I1016" s="32">
        <v>0</v>
      </c>
      <c r="J1016" s="32">
        <v>0</v>
      </c>
      <c r="K1016" s="85">
        <v>0</v>
      </c>
      <c r="L1016" s="32">
        <v>0</v>
      </c>
      <c r="M1016" s="31">
        <v>624.26</v>
      </c>
      <c r="N1016" s="31">
        <v>3224450.82</v>
      </c>
      <c r="O1016" s="32">
        <v>0</v>
      </c>
      <c r="P1016" s="32">
        <v>0</v>
      </c>
      <c r="Q1016" s="32">
        <v>0</v>
      </c>
      <c r="R1016" s="32">
        <v>0</v>
      </c>
      <c r="S1016" s="32">
        <v>0</v>
      </c>
      <c r="T1016" s="32">
        <v>0</v>
      </c>
      <c r="U1016" s="32">
        <v>0</v>
      </c>
      <c r="V1016" s="32">
        <v>0</v>
      </c>
      <c r="W1016" s="32">
        <v>0</v>
      </c>
      <c r="X1016" s="32">
        <v>0</v>
      </c>
      <c r="Y1016" s="32">
        <v>0</v>
      </c>
      <c r="Z1016" s="32">
        <v>0</v>
      </c>
      <c r="AA1016" s="31">
        <v>0</v>
      </c>
      <c r="AB1016" s="31">
        <v>0</v>
      </c>
      <c r="AC1016" s="31">
        <f t="shared" si="218"/>
        <v>48366.76</v>
      </c>
      <c r="AD1016" s="31">
        <v>150000</v>
      </c>
      <c r="AE1016" s="31">
        <v>0</v>
      </c>
      <c r="AF1016" s="34">
        <v>2022</v>
      </c>
      <c r="AG1016" s="34">
        <v>2022</v>
      </c>
      <c r="AH1016" s="35">
        <v>2022</v>
      </c>
      <c r="AT1016" s="20" t="e">
        <f t="shared" si="215"/>
        <v>#N/A</v>
      </c>
      <c r="BZ1016" s="71"/>
    </row>
    <row r="1017" spans="1:78" ht="61.5" x14ac:dyDescent="0.85">
      <c r="A1017" s="20">
        <v>1</v>
      </c>
      <c r="B1017" s="66">
        <f>SUBTOTAL(103,$A$948:A1017)</f>
        <v>69</v>
      </c>
      <c r="C1017" s="24" t="s">
        <v>486</v>
      </c>
      <c r="D1017" s="31">
        <f t="shared" si="217"/>
        <v>3106903.4</v>
      </c>
      <c r="E1017" s="32">
        <v>0</v>
      </c>
      <c r="F1017" s="32">
        <v>0</v>
      </c>
      <c r="G1017" s="32">
        <v>0</v>
      </c>
      <c r="H1017" s="32">
        <v>0</v>
      </c>
      <c r="I1017" s="32">
        <v>0</v>
      </c>
      <c r="J1017" s="32">
        <v>0</v>
      </c>
      <c r="K1017" s="85">
        <v>0</v>
      </c>
      <c r="L1017" s="32">
        <v>0</v>
      </c>
      <c r="M1017" s="31">
        <v>544.85</v>
      </c>
      <c r="N1017" s="31">
        <f>2664960.76+248244.56</f>
        <v>2913205.32</v>
      </c>
      <c r="O1017" s="32">
        <v>0</v>
      </c>
      <c r="P1017" s="32">
        <v>0</v>
      </c>
      <c r="Q1017" s="32">
        <v>0</v>
      </c>
      <c r="R1017" s="32">
        <v>0</v>
      </c>
      <c r="S1017" s="32">
        <v>0</v>
      </c>
      <c r="T1017" s="32">
        <v>0</v>
      </c>
      <c r="U1017" s="32">
        <v>0</v>
      </c>
      <c r="V1017" s="32">
        <v>0</v>
      </c>
      <c r="W1017" s="32">
        <v>0</v>
      </c>
      <c r="X1017" s="32">
        <v>0</v>
      </c>
      <c r="Y1017" s="32">
        <v>0</v>
      </c>
      <c r="Z1017" s="32">
        <v>0</v>
      </c>
      <c r="AA1017" s="31">
        <v>0</v>
      </c>
      <c r="AB1017" s="31">
        <v>0</v>
      </c>
      <c r="AC1017" s="31">
        <f t="shared" si="218"/>
        <v>43698.080000000002</v>
      </c>
      <c r="AD1017" s="31">
        <v>150000</v>
      </c>
      <c r="AE1017" s="31">
        <v>0</v>
      </c>
      <c r="AF1017" s="34">
        <v>2022</v>
      </c>
      <c r="AG1017" s="34">
        <v>2022</v>
      </c>
      <c r="AH1017" s="35">
        <v>2022</v>
      </c>
      <c r="AT1017" s="20" t="e">
        <f t="shared" si="215"/>
        <v>#N/A</v>
      </c>
      <c r="BZ1017" s="71"/>
    </row>
    <row r="1018" spans="1:78" ht="61.5" x14ac:dyDescent="0.85">
      <c r="A1018" s="20">
        <v>1</v>
      </c>
      <c r="B1018" s="66">
        <f>SUBTOTAL(103,$A$948:A1018)</f>
        <v>70</v>
      </c>
      <c r="C1018" s="24" t="s">
        <v>487</v>
      </c>
      <c r="D1018" s="31">
        <f t="shared" si="217"/>
        <v>2847699.39</v>
      </c>
      <c r="E1018" s="30">
        <v>0</v>
      </c>
      <c r="F1018" s="32">
        <v>0</v>
      </c>
      <c r="G1018" s="30">
        <v>0</v>
      </c>
      <c r="H1018" s="32">
        <v>0</v>
      </c>
      <c r="I1018" s="32">
        <v>0</v>
      </c>
      <c r="J1018" s="32">
        <v>0</v>
      </c>
      <c r="K1018" s="85">
        <v>0</v>
      </c>
      <c r="L1018" s="32">
        <v>0</v>
      </c>
      <c r="M1018" s="31">
        <v>510</v>
      </c>
      <c r="N1018" s="31">
        <f>2425465.71+232366.2</f>
        <v>2657831.91</v>
      </c>
      <c r="O1018" s="32">
        <v>0</v>
      </c>
      <c r="P1018" s="32">
        <v>0</v>
      </c>
      <c r="Q1018" s="32">
        <v>0</v>
      </c>
      <c r="R1018" s="32">
        <v>0</v>
      </c>
      <c r="S1018" s="32">
        <v>0</v>
      </c>
      <c r="T1018" s="32">
        <v>0</v>
      </c>
      <c r="U1018" s="32">
        <v>0</v>
      </c>
      <c r="V1018" s="32">
        <v>0</v>
      </c>
      <c r="W1018" s="32">
        <v>0</v>
      </c>
      <c r="X1018" s="32">
        <v>0</v>
      </c>
      <c r="Y1018" s="32">
        <v>0</v>
      </c>
      <c r="Z1018" s="32">
        <v>0</v>
      </c>
      <c r="AA1018" s="31">
        <v>0</v>
      </c>
      <c r="AB1018" s="31">
        <v>0</v>
      </c>
      <c r="AC1018" s="31">
        <f t="shared" si="218"/>
        <v>39867.480000000003</v>
      </c>
      <c r="AD1018" s="31">
        <v>150000</v>
      </c>
      <c r="AE1018" s="31">
        <v>0</v>
      </c>
      <c r="AF1018" s="34">
        <v>2022</v>
      </c>
      <c r="AG1018" s="34">
        <v>2022</v>
      </c>
      <c r="AH1018" s="35">
        <v>2022</v>
      </c>
      <c r="AT1018" s="20" t="e">
        <f t="shared" si="215"/>
        <v>#N/A</v>
      </c>
      <c r="BZ1018" s="71"/>
    </row>
    <row r="1019" spans="1:78" ht="61.5" x14ac:dyDescent="0.85">
      <c r="A1019" s="20">
        <v>1</v>
      </c>
      <c r="B1019" s="66">
        <f>SUBTOTAL(103,$A$948:A1019)</f>
        <v>71</v>
      </c>
      <c r="C1019" s="24" t="s">
        <v>488</v>
      </c>
      <c r="D1019" s="31">
        <f t="shared" si="217"/>
        <v>3110189.0700000003</v>
      </c>
      <c r="E1019" s="32">
        <v>0</v>
      </c>
      <c r="F1019" s="32">
        <v>0</v>
      </c>
      <c r="G1019" s="32">
        <v>0</v>
      </c>
      <c r="H1019" s="32">
        <v>0</v>
      </c>
      <c r="I1019" s="32">
        <v>0</v>
      </c>
      <c r="J1019" s="32">
        <v>0</v>
      </c>
      <c r="K1019" s="85">
        <v>0</v>
      </c>
      <c r="L1019" s="32">
        <v>0</v>
      </c>
      <c r="M1019" s="31">
        <v>547</v>
      </c>
      <c r="N1019" s="31">
        <f>2667213.48+249224.14+4.81</f>
        <v>2916442.43</v>
      </c>
      <c r="O1019" s="32">
        <v>0</v>
      </c>
      <c r="P1019" s="32">
        <v>0</v>
      </c>
      <c r="Q1019" s="32">
        <v>0</v>
      </c>
      <c r="R1019" s="32">
        <v>0</v>
      </c>
      <c r="S1019" s="32">
        <v>0</v>
      </c>
      <c r="T1019" s="31">
        <v>0</v>
      </c>
      <c r="U1019" s="32">
        <v>0</v>
      </c>
      <c r="V1019" s="32">
        <v>0</v>
      </c>
      <c r="W1019" s="32">
        <v>0</v>
      </c>
      <c r="X1019" s="32">
        <v>0</v>
      </c>
      <c r="Y1019" s="32">
        <v>0</v>
      </c>
      <c r="Z1019" s="32">
        <v>0</v>
      </c>
      <c r="AA1019" s="31">
        <v>0</v>
      </c>
      <c r="AB1019" s="31">
        <v>0</v>
      </c>
      <c r="AC1019" s="31">
        <f t="shared" si="218"/>
        <v>43746.64</v>
      </c>
      <c r="AD1019" s="31">
        <v>150000</v>
      </c>
      <c r="AE1019" s="31">
        <v>0</v>
      </c>
      <c r="AF1019" s="34">
        <v>2022</v>
      </c>
      <c r="AG1019" s="34">
        <v>2022</v>
      </c>
      <c r="AH1019" s="35">
        <v>2022</v>
      </c>
      <c r="AT1019" s="20" t="e">
        <f t="shared" si="215"/>
        <v>#N/A</v>
      </c>
      <c r="BZ1019" s="71"/>
    </row>
    <row r="1020" spans="1:78" ht="61.5" x14ac:dyDescent="0.85">
      <c r="A1020" s="20">
        <v>1</v>
      </c>
      <c r="B1020" s="66">
        <f>SUBTOTAL(103,$A$948:A1020)</f>
        <v>72</v>
      </c>
      <c r="C1020" s="24" t="s">
        <v>489</v>
      </c>
      <c r="D1020" s="31">
        <f t="shared" si="217"/>
        <v>2521758.64</v>
      </c>
      <c r="E1020" s="32">
        <v>0</v>
      </c>
      <c r="F1020" s="32">
        <v>0</v>
      </c>
      <c r="G1020" s="32">
        <v>0</v>
      </c>
      <c r="H1020" s="32">
        <v>0</v>
      </c>
      <c r="I1020" s="32">
        <v>0</v>
      </c>
      <c r="J1020" s="32">
        <v>0</v>
      </c>
      <c r="K1020" s="85">
        <v>0</v>
      </c>
      <c r="L1020" s="32">
        <v>0</v>
      </c>
      <c r="M1020" s="31">
        <v>398.44</v>
      </c>
      <c r="N1020" s="31">
        <v>2366264.67</v>
      </c>
      <c r="O1020" s="32">
        <v>0</v>
      </c>
      <c r="P1020" s="32">
        <v>0</v>
      </c>
      <c r="Q1020" s="32">
        <v>0</v>
      </c>
      <c r="R1020" s="32">
        <v>0</v>
      </c>
      <c r="S1020" s="32">
        <v>0</v>
      </c>
      <c r="T1020" s="32">
        <v>0</v>
      </c>
      <c r="U1020" s="32">
        <v>0</v>
      </c>
      <c r="V1020" s="32">
        <v>0</v>
      </c>
      <c r="W1020" s="32">
        <v>0</v>
      </c>
      <c r="X1020" s="32">
        <v>0</v>
      </c>
      <c r="Y1020" s="32">
        <v>0</v>
      </c>
      <c r="Z1020" s="32">
        <v>0</v>
      </c>
      <c r="AA1020" s="31">
        <v>0</v>
      </c>
      <c r="AB1020" s="31">
        <v>0</v>
      </c>
      <c r="AC1020" s="31">
        <f>ROUND(N1020*1.5%,2)</f>
        <v>35493.97</v>
      </c>
      <c r="AD1020" s="31">
        <v>120000</v>
      </c>
      <c r="AE1020" s="31">
        <v>0</v>
      </c>
      <c r="AF1020" s="34">
        <v>2022</v>
      </c>
      <c r="AG1020" s="34">
        <v>2022</v>
      </c>
      <c r="AH1020" s="35">
        <v>2022</v>
      </c>
      <c r="AT1020" s="20" t="e">
        <f t="shared" si="215"/>
        <v>#N/A</v>
      </c>
      <c r="BZ1020" s="71"/>
    </row>
    <row r="1021" spans="1:78" ht="61.5" x14ac:dyDescent="0.85">
      <c r="A1021" s="20">
        <v>1</v>
      </c>
      <c r="B1021" s="66">
        <f>SUBTOTAL(103,$A$948:A1021)</f>
        <v>73</v>
      </c>
      <c r="C1021" s="24" t="s">
        <v>1645</v>
      </c>
      <c r="D1021" s="31">
        <f t="shared" si="217"/>
        <v>2382311.33</v>
      </c>
      <c r="E1021" s="32">
        <v>0</v>
      </c>
      <c r="F1021" s="32">
        <v>0</v>
      </c>
      <c r="G1021" s="32">
        <v>0</v>
      </c>
      <c r="H1021" s="32">
        <v>0</v>
      </c>
      <c r="I1021" s="32">
        <v>0</v>
      </c>
      <c r="J1021" s="32">
        <v>0</v>
      </c>
      <c r="K1021" s="85">
        <v>0</v>
      </c>
      <c r="L1021" s="32">
        <v>0</v>
      </c>
      <c r="M1021" s="31">
        <v>404.2</v>
      </c>
      <c r="N1021" s="31">
        <v>2110651.56</v>
      </c>
      <c r="O1021" s="32">
        <v>0</v>
      </c>
      <c r="P1021" s="32">
        <v>0</v>
      </c>
      <c r="Q1021" s="32">
        <v>0</v>
      </c>
      <c r="R1021" s="32">
        <v>0</v>
      </c>
      <c r="S1021" s="32">
        <v>0</v>
      </c>
      <c r="T1021" s="32">
        <v>0</v>
      </c>
      <c r="U1021" s="32">
        <v>0</v>
      </c>
      <c r="V1021" s="32">
        <v>0</v>
      </c>
      <c r="W1021" s="32">
        <v>0</v>
      </c>
      <c r="X1021" s="32">
        <v>0</v>
      </c>
      <c r="Y1021" s="32">
        <v>0</v>
      </c>
      <c r="Z1021" s="32">
        <v>0</v>
      </c>
      <c r="AA1021" s="31">
        <v>0</v>
      </c>
      <c r="AB1021" s="31">
        <v>0</v>
      </c>
      <c r="AC1021" s="31">
        <f>ROUND(N1021*1.5%,2)</f>
        <v>31659.77</v>
      </c>
      <c r="AD1021" s="31">
        <v>120000</v>
      </c>
      <c r="AE1021" s="31">
        <v>120000</v>
      </c>
      <c r="AF1021" s="34">
        <v>2022</v>
      </c>
      <c r="AG1021" s="34">
        <v>2022</v>
      </c>
      <c r="AH1021" s="35">
        <v>2022</v>
      </c>
      <c r="BZ1021" s="71"/>
    </row>
    <row r="1022" spans="1:78" ht="61.5" x14ac:dyDescent="0.85">
      <c r="B1022" s="24" t="s">
        <v>782</v>
      </c>
      <c r="C1022" s="166"/>
      <c r="D1022" s="31">
        <f>SUM(D1023:D1049)</f>
        <v>91626897.959999993</v>
      </c>
      <c r="E1022" s="31">
        <f t="shared" ref="E1022:AE1022" si="219">SUM(E1023:E1049)</f>
        <v>0</v>
      </c>
      <c r="F1022" s="31">
        <f t="shared" si="219"/>
        <v>0</v>
      </c>
      <c r="G1022" s="31">
        <f t="shared" si="219"/>
        <v>0</v>
      </c>
      <c r="H1022" s="31">
        <f t="shared" si="219"/>
        <v>0</v>
      </c>
      <c r="I1022" s="31">
        <f t="shared" si="219"/>
        <v>1794795.08</v>
      </c>
      <c r="J1022" s="31">
        <f t="shared" si="219"/>
        <v>0</v>
      </c>
      <c r="K1022" s="33">
        <f t="shared" si="219"/>
        <v>7</v>
      </c>
      <c r="L1022" s="31">
        <f t="shared" si="219"/>
        <v>14963263.060000001</v>
      </c>
      <c r="M1022" s="31">
        <f t="shared" si="219"/>
        <v>14798</v>
      </c>
      <c r="N1022" s="31">
        <f t="shared" si="219"/>
        <v>67952677.739999995</v>
      </c>
      <c r="O1022" s="31">
        <f t="shared" si="219"/>
        <v>0</v>
      </c>
      <c r="P1022" s="31">
        <f t="shared" si="219"/>
        <v>0</v>
      </c>
      <c r="Q1022" s="31">
        <f t="shared" si="219"/>
        <v>1050</v>
      </c>
      <c r="R1022" s="31">
        <f t="shared" si="219"/>
        <v>5664975.3700000001</v>
      </c>
      <c r="S1022" s="31">
        <f t="shared" si="219"/>
        <v>0</v>
      </c>
      <c r="T1022" s="31">
        <f t="shared" si="219"/>
        <v>0</v>
      </c>
      <c r="U1022" s="31">
        <f t="shared" si="219"/>
        <v>0</v>
      </c>
      <c r="V1022" s="31">
        <f t="shared" si="219"/>
        <v>0</v>
      </c>
      <c r="W1022" s="31">
        <f t="shared" si="219"/>
        <v>0</v>
      </c>
      <c r="X1022" s="31">
        <f t="shared" si="219"/>
        <v>0</v>
      </c>
      <c r="Y1022" s="31">
        <f t="shared" si="219"/>
        <v>0</v>
      </c>
      <c r="Z1022" s="31">
        <f t="shared" si="219"/>
        <v>0</v>
      </c>
      <c r="AA1022" s="31">
        <f t="shared" si="219"/>
        <v>0</v>
      </c>
      <c r="AB1022" s="31">
        <f t="shared" si="219"/>
        <v>0</v>
      </c>
      <c r="AC1022" s="31">
        <f t="shared" si="219"/>
        <v>1131186.71</v>
      </c>
      <c r="AD1022" s="31">
        <f t="shared" si="219"/>
        <v>0</v>
      </c>
      <c r="AE1022" s="31">
        <f t="shared" si="219"/>
        <v>120000</v>
      </c>
      <c r="AF1022" s="72" t="s">
        <v>776</v>
      </c>
      <c r="AG1022" s="72" t="s">
        <v>776</v>
      </c>
      <c r="AH1022" s="89" t="s">
        <v>776</v>
      </c>
      <c r="AT1022" s="20" t="e">
        <f t="shared" ref="AT1022:AT1060" si="220">VLOOKUP(C1022,AW:AX,2,FALSE)</f>
        <v>#N/A</v>
      </c>
      <c r="BZ1022" s="71">
        <v>91626897.959999993</v>
      </c>
    </row>
    <row r="1023" spans="1:78" ht="61.5" x14ac:dyDescent="0.85">
      <c r="A1023" s="20">
        <v>1</v>
      </c>
      <c r="B1023" s="66">
        <f>SUBTOTAL(103,$A$948:A1023)</f>
        <v>74</v>
      </c>
      <c r="C1023" s="24" t="s">
        <v>433</v>
      </c>
      <c r="D1023" s="31">
        <f t="shared" ref="D1023:D1049" si="221">E1023+F1023+G1023+H1023+I1023+J1023+L1023+N1023+P1023+R1023+T1023+U1023+V1023+W1023+X1023+Y1023+Z1023+AA1023+AB1023+AC1023+AD1023+AE1023</f>
        <v>4337224.8899999997</v>
      </c>
      <c r="E1023" s="31">
        <v>0</v>
      </c>
      <c r="F1023" s="31">
        <v>0</v>
      </c>
      <c r="G1023" s="31">
        <v>0</v>
      </c>
      <c r="H1023" s="31">
        <v>0</v>
      </c>
      <c r="I1023" s="31">
        <v>0</v>
      </c>
      <c r="J1023" s="31">
        <v>0</v>
      </c>
      <c r="K1023" s="33">
        <v>0</v>
      </c>
      <c r="L1023" s="31">
        <v>0</v>
      </c>
      <c r="M1023" s="31">
        <v>930</v>
      </c>
      <c r="N1023" s="31">
        <v>4273127.97</v>
      </c>
      <c r="O1023" s="31">
        <v>0</v>
      </c>
      <c r="P1023" s="31">
        <v>0</v>
      </c>
      <c r="Q1023" s="31">
        <v>0</v>
      </c>
      <c r="R1023" s="31">
        <v>0</v>
      </c>
      <c r="S1023" s="31">
        <v>0</v>
      </c>
      <c r="T1023" s="31">
        <v>0</v>
      </c>
      <c r="U1023" s="31">
        <v>0</v>
      </c>
      <c r="V1023" s="31">
        <v>0</v>
      </c>
      <c r="W1023" s="31">
        <v>0</v>
      </c>
      <c r="X1023" s="31">
        <v>0</v>
      </c>
      <c r="Y1023" s="31">
        <v>0</v>
      </c>
      <c r="Z1023" s="31">
        <v>0</v>
      </c>
      <c r="AA1023" s="31">
        <v>0</v>
      </c>
      <c r="AB1023" s="31">
        <v>0</v>
      </c>
      <c r="AC1023" s="31">
        <f>ROUND(N1023*1.5%,2)</f>
        <v>64096.92</v>
      </c>
      <c r="AD1023" s="31">
        <v>0</v>
      </c>
      <c r="AE1023" s="31">
        <v>0</v>
      </c>
      <c r="AF1023" s="34" t="s">
        <v>274</v>
      </c>
      <c r="AG1023" s="34">
        <v>2022</v>
      </c>
      <c r="AH1023" s="35">
        <v>2022</v>
      </c>
      <c r="AT1023" s="20" t="e">
        <f t="shared" si="220"/>
        <v>#N/A</v>
      </c>
      <c r="BZ1023" s="71"/>
    </row>
    <row r="1024" spans="1:78" ht="61.5" x14ac:dyDescent="0.85">
      <c r="A1024" s="20">
        <v>1</v>
      </c>
      <c r="B1024" s="66">
        <f>SUBTOTAL(103,$A$948:A1024)</f>
        <v>75</v>
      </c>
      <c r="C1024" s="24" t="s">
        <v>434</v>
      </c>
      <c r="D1024" s="31">
        <f t="shared" si="221"/>
        <v>2714283.9</v>
      </c>
      <c r="E1024" s="31">
        <v>0</v>
      </c>
      <c r="F1024" s="31">
        <v>0</v>
      </c>
      <c r="G1024" s="31">
        <v>0</v>
      </c>
      <c r="H1024" s="31">
        <v>0</v>
      </c>
      <c r="I1024" s="31">
        <v>0</v>
      </c>
      <c r="J1024" s="31">
        <v>0</v>
      </c>
      <c r="K1024" s="33">
        <v>0</v>
      </c>
      <c r="L1024" s="31">
        <v>0</v>
      </c>
      <c r="M1024" s="31">
        <v>594</v>
      </c>
      <c r="N1024" s="31">
        <v>2674171.33</v>
      </c>
      <c r="O1024" s="31">
        <v>0</v>
      </c>
      <c r="P1024" s="31">
        <v>0</v>
      </c>
      <c r="Q1024" s="31">
        <v>0</v>
      </c>
      <c r="R1024" s="31">
        <v>0</v>
      </c>
      <c r="S1024" s="31">
        <v>0</v>
      </c>
      <c r="T1024" s="31">
        <v>0</v>
      </c>
      <c r="U1024" s="31">
        <v>0</v>
      </c>
      <c r="V1024" s="31">
        <v>0</v>
      </c>
      <c r="W1024" s="31">
        <v>0</v>
      </c>
      <c r="X1024" s="31">
        <v>0</v>
      </c>
      <c r="Y1024" s="31">
        <v>0</v>
      </c>
      <c r="Z1024" s="31">
        <v>0</v>
      </c>
      <c r="AA1024" s="31">
        <v>0</v>
      </c>
      <c r="AB1024" s="31">
        <v>0</v>
      </c>
      <c r="AC1024" s="31">
        <f>ROUND(N1024*1.5%,2)</f>
        <v>40112.57</v>
      </c>
      <c r="AD1024" s="31">
        <v>0</v>
      </c>
      <c r="AE1024" s="31">
        <v>0</v>
      </c>
      <c r="AF1024" s="34" t="s">
        <v>274</v>
      </c>
      <c r="AG1024" s="34">
        <v>2022</v>
      </c>
      <c r="AH1024" s="35">
        <v>2022</v>
      </c>
      <c r="AT1024" s="20" t="e">
        <f t="shared" si="220"/>
        <v>#N/A</v>
      </c>
      <c r="BZ1024" s="71"/>
    </row>
    <row r="1025" spans="1:78" ht="61.5" x14ac:dyDescent="0.85">
      <c r="A1025" s="20">
        <v>1</v>
      </c>
      <c r="B1025" s="66">
        <f>SUBTOTAL(103,$A$948:A1025)</f>
        <v>76</v>
      </c>
      <c r="C1025" s="24" t="s">
        <v>435</v>
      </c>
      <c r="D1025" s="31">
        <f t="shared" si="221"/>
        <v>5214319.6899999995</v>
      </c>
      <c r="E1025" s="31">
        <v>0</v>
      </c>
      <c r="F1025" s="31">
        <v>0</v>
      </c>
      <c r="G1025" s="31">
        <v>0</v>
      </c>
      <c r="H1025" s="31">
        <v>0</v>
      </c>
      <c r="I1025" s="31">
        <v>0</v>
      </c>
      <c r="J1025" s="31">
        <v>0</v>
      </c>
      <c r="K1025" s="33">
        <v>0</v>
      </c>
      <c r="L1025" s="31">
        <v>0</v>
      </c>
      <c r="M1025" s="31">
        <v>1118</v>
      </c>
      <c r="N1025" s="31">
        <v>5137260.7799999993</v>
      </c>
      <c r="O1025" s="31">
        <v>0</v>
      </c>
      <c r="P1025" s="31">
        <v>0</v>
      </c>
      <c r="Q1025" s="31">
        <v>0</v>
      </c>
      <c r="R1025" s="31">
        <v>0</v>
      </c>
      <c r="S1025" s="31">
        <v>0</v>
      </c>
      <c r="T1025" s="31">
        <v>0</v>
      </c>
      <c r="U1025" s="31">
        <v>0</v>
      </c>
      <c r="V1025" s="31">
        <v>0</v>
      </c>
      <c r="W1025" s="31">
        <v>0</v>
      </c>
      <c r="X1025" s="31">
        <v>0</v>
      </c>
      <c r="Y1025" s="31">
        <v>0</v>
      </c>
      <c r="Z1025" s="31">
        <v>0</v>
      </c>
      <c r="AA1025" s="31">
        <v>0</v>
      </c>
      <c r="AB1025" s="31">
        <v>0</v>
      </c>
      <c r="AC1025" s="31">
        <f>ROUND(N1025*1.5%,2)</f>
        <v>77058.91</v>
      </c>
      <c r="AD1025" s="31">
        <v>0</v>
      </c>
      <c r="AE1025" s="31">
        <v>0</v>
      </c>
      <c r="AF1025" s="34" t="s">
        <v>274</v>
      </c>
      <c r="AG1025" s="34">
        <v>2022</v>
      </c>
      <c r="AH1025" s="35">
        <v>2022</v>
      </c>
      <c r="AT1025" s="20" t="e">
        <f t="shared" si="220"/>
        <v>#N/A</v>
      </c>
      <c r="BZ1025" s="71"/>
    </row>
    <row r="1026" spans="1:78" ht="61.5" x14ac:dyDescent="0.85">
      <c r="A1026" s="20">
        <v>1</v>
      </c>
      <c r="B1026" s="66">
        <f>SUBTOTAL(103,$A$948:A1026)</f>
        <v>77</v>
      </c>
      <c r="C1026" s="24" t="s">
        <v>436</v>
      </c>
      <c r="D1026" s="31">
        <f t="shared" si="221"/>
        <v>5749950</v>
      </c>
      <c r="E1026" s="31">
        <v>0</v>
      </c>
      <c r="F1026" s="31">
        <v>0</v>
      </c>
      <c r="G1026" s="31">
        <v>0</v>
      </c>
      <c r="H1026" s="31">
        <v>0</v>
      </c>
      <c r="I1026" s="31">
        <v>0</v>
      </c>
      <c r="J1026" s="31">
        <v>0</v>
      </c>
      <c r="K1026" s="33">
        <v>0</v>
      </c>
      <c r="L1026" s="31">
        <v>0</v>
      </c>
      <c r="M1026" s="31">
        <v>0</v>
      </c>
      <c r="N1026" s="31">
        <v>0</v>
      </c>
      <c r="O1026" s="31">
        <v>0</v>
      </c>
      <c r="P1026" s="31">
        <v>0</v>
      </c>
      <c r="Q1026" s="31">
        <v>1050</v>
      </c>
      <c r="R1026" s="31">
        <v>5664975.3700000001</v>
      </c>
      <c r="S1026" s="31">
        <v>0</v>
      </c>
      <c r="T1026" s="31">
        <v>0</v>
      </c>
      <c r="U1026" s="31">
        <v>0</v>
      </c>
      <c r="V1026" s="31">
        <v>0</v>
      </c>
      <c r="W1026" s="31">
        <v>0</v>
      </c>
      <c r="X1026" s="31">
        <v>0</v>
      </c>
      <c r="Y1026" s="31">
        <v>0</v>
      </c>
      <c r="Z1026" s="31">
        <v>0</v>
      </c>
      <c r="AA1026" s="31">
        <v>0</v>
      </c>
      <c r="AB1026" s="31">
        <v>0</v>
      </c>
      <c r="AC1026" s="31">
        <f>ROUND(R1026*1.5%,2)</f>
        <v>84974.63</v>
      </c>
      <c r="AD1026" s="31">
        <v>0</v>
      </c>
      <c r="AE1026" s="31">
        <v>0</v>
      </c>
      <c r="AF1026" s="34" t="s">
        <v>274</v>
      </c>
      <c r="AG1026" s="34">
        <v>2022</v>
      </c>
      <c r="AH1026" s="35">
        <v>2022</v>
      </c>
      <c r="AT1026" s="20" t="e">
        <f t="shared" si="220"/>
        <v>#N/A</v>
      </c>
      <c r="BZ1026" s="71"/>
    </row>
    <row r="1027" spans="1:78" ht="61.5" x14ac:dyDescent="0.85">
      <c r="A1027" s="20">
        <v>1</v>
      </c>
      <c r="B1027" s="66">
        <f>SUBTOTAL(103,$A$948:A1027)</f>
        <v>78</v>
      </c>
      <c r="C1027" s="24" t="s">
        <v>437</v>
      </c>
      <c r="D1027" s="31">
        <f t="shared" si="221"/>
        <v>3391530.1000000006</v>
      </c>
      <c r="E1027" s="31">
        <v>0</v>
      </c>
      <c r="F1027" s="31">
        <v>0</v>
      </c>
      <c r="G1027" s="31">
        <v>0</v>
      </c>
      <c r="H1027" s="31">
        <v>0</v>
      </c>
      <c r="I1027" s="31">
        <v>0</v>
      </c>
      <c r="J1027" s="31">
        <v>0</v>
      </c>
      <c r="K1027" s="33">
        <v>0</v>
      </c>
      <c r="L1027" s="31">
        <v>0</v>
      </c>
      <c r="M1027" s="31">
        <v>734</v>
      </c>
      <c r="N1027" s="31">
        <f>3341408.97-118226.61</f>
        <v>3223182.3600000003</v>
      </c>
      <c r="O1027" s="31">
        <v>0</v>
      </c>
      <c r="P1027" s="31">
        <v>0</v>
      </c>
      <c r="Q1027" s="31">
        <v>0</v>
      </c>
      <c r="R1027" s="31">
        <v>0</v>
      </c>
      <c r="S1027" s="31">
        <v>0</v>
      </c>
      <c r="T1027" s="31">
        <v>0</v>
      </c>
      <c r="U1027" s="31">
        <v>0</v>
      </c>
      <c r="V1027" s="31">
        <v>0</v>
      </c>
      <c r="W1027" s="31">
        <v>0</v>
      </c>
      <c r="X1027" s="31">
        <v>0</v>
      </c>
      <c r="Y1027" s="31">
        <v>0</v>
      </c>
      <c r="Z1027" s="31">
        <v>0</v>
      </c>
      <c r="AA1027" s="31">
        <v>0</v>
      </c>
      <c r="AB1027" s="31">
        <v>0</v>
      </c>
      <c r="AC1027" s="31">
        <f>ROUND(N1027*1.5%,2)</f>
        <v>48347.74</v>
      </c>
      <c r="AD1027" s="31">
        <v>0</v>
      </c>
      <c r="AE1027" s="31">
        <v>120000</v>
      </c>
      <c r="AF1027" s="34" t="s">
        <v>274</v>
      </c>
      <c r="AG1027" s="34">
        <v>2022</v>
      </c>
      <c r="AH1027" s="35">
        <v>2022</v>
      </c>
      <c r="AT1027" s="20" t="e">
        <f t="shared" si="220"/>
        <v>#N/A</v>
      </c>
      <c r="BZ1027" s="71"/>
    </row>
    <row r="1028" spans="1:78" ht="61.5" x14ac:dyDescent="0.85">
      <c r="A1028" s="20">
        <v>1</v>
      </c>
      <c r="B1028" s="66">
        <f>SUBTOTAL(103,$A$948:A1028)</f>
        <v>79</v>
      </c>
      <c r="C1028" s="24" t="s">
        <v>438</v>
      </c>
      <c r="D1028" s="31">
        <f t="shared" si="221"/>
        <v>8090003.5300000003</v>
      </c>
      <c r="E1028" s="31">
        <v>0</v>
      </c>
      <c r="F1028" s="31">
        <v>0</v>
      </c>
      <c r="G1028" s="31">
        <v>0</v>
      </c>
      <c r="H1028" s="31">
        <v>0</v>
      </c>
      <c r="I1028" s="31">
        <v>0</v>
      </c>
      <c r="J1028" s="31">
        <v>0</v>
      </c>
      <c r="K1028" s="33">
        <v>0</v>
      </c>
      <c r="L1028" s="31">
        <v>0</v>
      </c>
      <c r="M1028" s="31">
        <v>1714</v>
      </c>
      <c r="N1028" s="31">
        <v>7970446.8300000001</v>
      </c>
      <c r="O1028" s="31">
        <v>0</v>
      </c>
      <c r="P1028" s="31">
        <v>0</v>
      </c>
      <c r="Q1028" s="31">
        <v>0</v>
      </c>
      <c r="R1028" s="31">
        <v>0</v>
      </c>
      <c r="S1028" s="31">
        <v>0</v>
      </c>
      <c r="T1028" s="31">
        <v>0</v>
      </c>
      <c r="U1028" s="31">
        <v>0</v>
      </c>
      <c r="V1028" s="31">
        <v>0</v>
      </c>
      <c r="W1028" s="31">
        <v>0</v>
      </c>
      <c r="X1028" s="31">
        <v>0</v>
      </c>
      <c r="Y1028" s="31">
        <v>0</v>
      </c>
      <c r="Z1028" s="31">
        <v>0</v>
      </c>
      <c r="AA1028" s="31">
        <v>0</v>
      </c>
      <c r="AB1028" s="31">
        <v>0</v>
      </c>
      <c r="AC1028" s="31">
        <f>ROUND(N1028*1.5%,2)</f>
        <v>119556.7</v>
      </c>
      <c r="AD1028" s="31">
        <v>0</v>
      </c>
      <c r="AE1028" s="31">
        <v>0</v>
      </c>
      <c r="AF1028" s="34" t="s">
        <v>274</v>
      </c>
      <c r="AG1028" s="34">
        <v>2022</v>
      </c>
      <c r="AH1028" s="35">
        <v>2022</v>
      </c>
      <c r="AT1028" s="20" t="e">
        <f t="shared" si="220"/>
        <v>#N/A</v>
      </c>
      <c r="BZ1028" s="71"/>
    </row>
    <row r="1029" spans="1:78" ht="61.5" x14ac:dyDescent="0.85">
      <c r="A1029" s="20">
        <v>1</v>
      </c>
      <c r="B1029" s="66">
        <f>SUBTOTAL(103,$A$948:A1029)</f>
        <v>80</v>
      </c>
      <c r="C1029" s="24" t="s">
        <v>439</v>
      </c>
      <c r="D1029" s="31">
        <f t="shared" si="221"/>
        <v>2744983.73</v>
      </c>
      <c r="E1029" s="31">
        <v>0</v>
      </c>
      <c r="F1029" s="31">
        <v>0</v>
      </c>
      <c r="G1029" s="31">
        <v>0</v>
      </c>
      <c r="H1029" s="31">
        <v>0</v>
      </c>
      <c r="I1029" s="31">
        <v>0</v>
      </c>
      <c r="J1029" s="31">
        <v>0</v>
      </c>
      <c r="K1029" s="33">
        <v>0</v>
      </c>
      <c r="L1029" s="31">
        <v>0</v>
      </c>
      <c r="M1029" s="31">
        <v>600</v>
      </c>
      <c r="N1029" s="31">
        <v>2704417.47</v>
      </c>
      <c r="O1029" s="31">
        <v>0</v>
      </c>
      <c r="P1029" s="31">
        <v>0</v>
      </c>
      <c r="Q1029" s="31">
        <v>0</v>
      </c>
      <c r="R1029" s="31">
        <v>0</v>
      </c>
      <c r="S1029" s="31">
        <v>0</v>
      </c>
      <c r="T1029" s="31">
        <v>0</v>
      </c>
      <c r="U1029" s="31">
        <v>0</v>
      </c>
      <c r="V1029" s="31">
        <v>0</v>
      </c>
      <c r="W1029" s="31">
        <v>0</v>
      </c>
      <c r="X1029" s="31">
        <v>0</v>
      </c>
      <c r="Y1029" s="31">
        <v>0</v>
      </c>
      <c r="Z1029" s="31">
        <v>0</v>
      </c>
      <c r="AA1029" s="31">
        <v>0</v>
      </c>
      <c r="AB1029" s="31">
        <v>0</v>
      </c>
      <c r="AC1029" s="31">
        <f>ROUND(N1029*1.5%,2)</f>
        <v>40566.26</v>
      </c>
      <c r="AD1029" s="31">
        <v>0</v>
      </c>
      <c r="AE1029" s="31">
        <v>0</v>
      </c>
      <c r="AF1029" s="34" t="s">
        <v>274</v>
      </c>
      <c r="AG1029" s="34">
        <v>2022</v>
      </c>
      <c r="AH1029" s="35">
        <v>2022</v>
      </c>
      <c r="AT1029" s="20" t="e">
        <f t="shared" si="220"/>
        <v>#N/A</v>
      </c>
      <c r="BZ1029" s="71"/>
    </row>
    <row r="1030" spans="1:78" ht="61.5" x14ac:dyDescent="0.85">
      <c r="A1030" s="20">
        <v>1</v>
      </c>
      <c r="B1030" s="66">
        <f>SUBTOTAL(103,$A$948:A1030)</f>
        <v>81</v>
      </c>
      <c r="C1030" s="24" t="s">
        <v>440</v>
      </c>
      <c r="D1030" s="31">
        <f t="shared" si="221"/>
        <v>1568740.5100000002</v>
      </c>
      <c r="E1030" s="31">
        <v>0</v>
      </c>
      <c r="F1030" s="31">
        <v>0</v>
      </c>
      <c r="G1030" s="31">
        <v>0</v>
      </c>
      <c r="H1030" s="31">
        <v>0</v>
      </c>
      <c r="I1030" s="31">
        <v>0</v>
      </c>
      <c r="J1030" s="31">
        <v>0</v>
      </c>
      <c r="K1030" s="33">
        <v>0</v>
      </c>
      <c r="L1030" s="31">
        <v>0</v>
      </c>
      <c r="M1030" s="31">
        <v>350</v>
      </c>
      <c r="N1030" s="31">
        <v>1545557.1500000001</v>
      </c>
      <c r="O1030" s="31">
        <v>0</v>
      </c>
      <c r="P1030" s="31">
        <v>0</v>
      </c>
      <c r="Q1030" s="31">
        <v>0</v>
      </c>
      <c r="R1030" s="31">
        <v>0</v>
      </c>
      <c r="S1030" s="31">
        <v>0</v>
      </c>
      <c r="T1030" s="31">
        <v>0</v>
      </c>
      <c r="U1030" s="31">
        <v>0</v>
      </c>
      <c r="V1030" s="31">
        <v>0</v>
      </c>
      <c r="W1030" s="31">
        <v>0</v>
      </c>
      <c r="X1030" s="31">
        <v>0</v>
      </c>
      <c r="Y1030" s="31">
        <v>0</v>
      </c>
      <c r="Z1030" s="31">
        <v>0</v>
      </c>
      <c r="AA1030" s="31">
        <v>0</v>
      </c>
      <c r="AB1030" s="31">
        <v>0</v>
      </c>
      <c r="AC1030" s="31">
        <f>ROUND(N1030*1.5%,2)</f>
        <v>23183.360000000001</v>
      </c>
      <c r="AD1030" s="31">
        <v>0</v>
      </c>
      <c r="AE1030" s="31">
        <v>0</v>
      </c>
      <c r="AF1030" s="34" t="s">
        <v>274</v>
      </c>
      <c r="AG1030" s="34">
        <v>2022</v>
      </c>
      <c r="AH1030" s="35">
        <v>2022</v>
      </c>
      <c r="AT1030" s="20" t="e">
        <f t="shared" si="220"/>
        <v>#N/A</v>
      </c>
      <c r="BZ1030" s="71"/>
    </row>
    <row r="1031" spans="1:78" ht="61.5" x14ac:dyDescent="0.85">
      <c r="A1031" s="20">
        <v>1</v>
      </c>
      <c r="B1031" s="66">
        <f>SUBTOTAL(103,$A$948:A1031)</f>
        <v>82</v>
      </c>
      <c r="C1031" s="24" t="s">
        <v>209</v>
      </c>
      <c r="D1031" s="31">
        <f t="shared" si="221"/>
        <v>4671497.92</v>
      </c>
      <c r="E1031" s="31">
        <v>0</v>
      </c>
      <c r="F1031" s="31">
        <v>0</v>
      </c>
      <c r="G1031" s="31">
        <v>0</v>
      </c>
      <c r="H1031" s="31">
        <v>0</v>
      </c>
      <c r="I1031" s="31">
        <v>0</v>
      </c>
      <c r="J1031" s="31">
        <v>0</v>
      </c>
      <c r="K1031" s="33">
        <v>0</v>
      </c>
      <c r="L1031" s="31">
        <v>0</v>
      </c>
      <c r="M1031" s="31">
        <v>999</v>
      </c>
      <c r="N1031" s="31">
        <v>4602461</v>
      </c>
      <c r="O1031" s="31">
        <v>0</v>
      </c>
      <c r="P1031" s="31">
        <v>0</v>
      </c>
      <c r="Q1031" s="31">
        <v>0</v>
      </c>
      <c r="R1031" s="31">
        <v>0</v>
      </c>
      <c r="S1031" s="31">
        <v>0</v>
      </c>
      <c r="T1031" s="31">
        <v>0</v>
      </c>
      <c r="U1031" s="31">
        <v>0</v>
      </c>
      <c r="V1031" s="31">
        <v>0</v>
      </c>
      <c r="W1031" s="31">
        <v>0</v>
      </c>
      <c r="X1031" s="31">
        <v>0</v>
      </c>
      <c r="Y1031" s="31">
        <v>0</v>
      </c>
      <c r="Z1031" s="31">
        <v>0</v>
      </c>
      <c r="AA1031" s="31">
        <v>0</v>
      </c>
      <c r="AB1031" s="31">
        <v>0</v>
      </c>
      <c r="AC1031" s="31">
        <f>ROUND(N1031*1.5%,2)</f>
        <v>69036.92</v>
      </c>
      <c r="AD1031" s="31">
        <v>0</v>
      </c>
      <c r="AE1031" s="31">
        <v>0</v>
      </c>
      <c r="AF1031" s="34" t="s">
        <v>274</v>
      </c>
      <c r="AG1031" s="34">
        <v>2022</v>
      </c>
      <c r="AH1031" s="35">
        <v>2022</v>
      </c>
      <c r="AT1031" s="20" t="e">
        <f t="shared" si="220"/>
        <v>#N/A</v>
      </c>
      <c r="BZ1031" s="71"/>
    </row>
    <row r="1032" spans="1:78" ht="61.5" x14ac:dyDescent="0.85">
      <c r="A1032" s="20">
        <v>1</v>
      </c>
      <c r="B1032" s="66">
        <f>SUBTOTAL(103,$A$948:A1032)</f>
        <v>83</v>
      </c>
      <c r="C1032" s="24" t="s">
        <v>210</v>
      </c>
      <c r="D1032" s="31">
        <f t="shared" si="221"/>
        <v>457907</v>
      </c>
      <c r="E1032" s="31">
        <v>0</v>
      </c>
      <c r="F1032" s="31">
        <v>0</v>
      </c>
      <c r="G1032" s="31">
        <v>0</v>
      </c>
      <c r="H1032" s="31">
        <v>0</v>
      </c>
      <c r="I1032" s="31">
        <v>451139.9</v>
      </c>
      <c r="J1032" s="31">
        <v>0</v>
      </c>
      <c r="K1032" s="33">
        <v>0</v>
      </c>
      <c r="L1032" s="31">
        <v>0</v>
      </c>
      <c r="M1032" s="31">
        <v>0</v>
      </c>
      <c r="N1032" s="31">
        <v>0</v>
      </c>
      <c r="O1032" s="31">
        <v>0</v>
      </c>
      <c r="P1032" s="31">
        <v>0</v>
      </c>
      <c r="Q1032" s="31">
        <v>0</v>
      </c>
      <c r="R1032" s="31">
        <v>0</v>
      </c>
      <c r="S1032" s="31">
        <v>0</v>
      </c>
      <c r="T1032" s="31">
        <v>0</v>
      </c>
      <c r="U1032" s="31">
        <v>0</v>
      </c>
      <c r="V1032" s="31">
        <v>0</v>
      </c>
      <c r="W1032" s="31">
        <v>0</v>
      </c>
      <c r="X1032" s="31">
        <v>0</v>
      </c>
      <c r="Y1032" s="31">
        <v>0</v>
      </c>
      <c r="Z1032" s="31">
        <v>0</v>
      </c>
      <c r="AA1032" s="31">
        <v>0</v>
      </c>
      <c r="AB1032" s="31">
        <v>0</v>
      </c>
      <c r="AC1032" s="31">
        <f>ROUND((E1032+F1032+G1032+H1032+I1032+J1032)*1.5%,2)</f>
        <v>6767.1</v>
      </c>
      <c r="AD1032" s="31">
        <v>0</v>
      </c>
      <c r="AE1032" s="31">
        <v>0</v>
      </c>
      <c r="AF1032" s="34" t="s">
        <v>274</v>
      </c>
      <c r="AG1032" s="34">
        <v>2022</v>
      </c>
      <c r="AH1032" s="35">
        <v>2022</v>
      </c>
      <c r="AT1032" s="20" t="e">
        <f t="shared" si="220"/>
        <v>#N/A</v>
      </c>
      <c r="BZ1032" s="71"/>
    </row>
    <row r="1033" spans="1:78" ht="61.5" x14ac:dyDescent="0.85">
      <c r="A1033" s="20">
        <v>1</v>
      </c>
      <c r="B1033" s="66">
        <f>SUBTOTAL(103,$A$948:A1033)</f>
        <v>84</v>
      </c>
      <c r="C1033" s="24" t="s">
        <v>211</v>
      </c>
      <c r="D1033" s="31">
        <f t="shared" si="221"/>
        <v>632281</v>
      </c>
      <c r="E1033" s="31">
        <v>0</v>
      </c>
      <c r="F1033" s="31">
        <v>0</v>
      </c>
      <c r="G1033" s="31">
        <v>0</v>
      </c>
      <c r="H1033" s="31">
        <v>0</v>
      </c>
      <c r="I1033" s="31">
        <v>622936.94999999995</v>
      </c>
      <c r="J1033" s="31">
        <v>0</v>
      </c>
      <c r="K1033" s="33">
        <v>0</v>
      </c>
      <c r="L1033" s="31">
        <v>0</v>
      </c>
      <c r="M1033" s="31">
        <v>0</v>
      </c>
      <c r="N1033" s="31">
        <v>0</v>
      </c>
      <c r="O1033" s="31">
        <v>0</v>
      </c>
      <c r="P1033" s="31">
        <v>0</v>
      </c>
      <c r="Q1033" s="31">
        <v>0</v>
      </c>
      <c r="R1033" s="31">
        <v>0</v>
      </c>
      <c r="S1033" s="31">
        <v>0</v>
      </c>
      <c r="T1033" s="31">
        <v>0</v>
      </c>
      <c r="U1033" s="31">
        <v>0</v>
      </c>
      <c r="V1033" s="31">
        <v>0</v>
      </c>
      <c r="W1033" s="31">
        <v>0</v>
      </c>
      <c r="X1033" s="31">
        <v>0</v>
      </c>
      <c r="Y1033" s="31">
        <v>0</v>
      </c>
      <c r="Z1033" s="31">
        <v>0</v>
      </c>
      <c r="AA1033" s="31">
        <v>0</v>
      </c>
      <c r="AB1033" s="31">
        <v>0</v>
      </c>
      <c r="AC1033" s="31">
        <f>ROUND((E1033+F1033+G1033+H1033+I1033+J1033)*1.5%,2)</f>
        <v>9344.0499999999993</v>
      </c>
      <c r="AD1033" s="31">
        <v>0</v>
      </c>
      <c r="AE1033" s="31">
        <v>0</v>
      </c>
      <c r="AF1033" s="34" t="s">
        <v>274</v>
      </c>
      <c r="AG1033" s="34">
        <v>2022</v>
      </c>
      <c r="AH1033" s="35">
        <v>2022</v>
      </c>
      <c r="AT1033" s="20" t="e">
        <f t="shared" si="220"/>
        <v>#N/A</v>
      </c>
      <c r="BZ1033" s="71"/>
    </row>
    <row r="1034" spans="1:78" ht="61.5" x14ac:dyDescent="0.85">
      <c r="A1034" s="20">
        <v>1</v>
      </c>
      <c r="B1034" s="66">
        <f>SUBTOTAL(103,$A$948:A1034)</f>
        <v>85</v>
      </c>
      <c r="C1034" s="24" t="s">
        <v>212</v>
      </c>
      <c r="D1034" s="31">
        <f t="shared" si="221"/>
        <v>731529</v>
      </c>
      <c r="E1034" s="31">
        <v>0</v>
      </c>
      <c r="F1034" s="31">
        <v>0</v>
      </c>
      <c r="G1034" s="31">
        <v>0</v>
      </c>
      <c r="H1034" s="31">
        <v>0</v>
      </c>
      <c r="I1034" s="31">
        <v>720718.23</v>
      </c>
      <c r="J1034" s="31">
        <v>0</v>
      </c>
      <c r="K1034" s="33">
        <v>0</v>
      </c>
      <c r="L1034" s="31">
        <v>0</v>
      </c>
      <c r="M1034" s="31">
        <v>0</v>
      </c>
      <c r="N1034" s="31">
        <v>0</v>
      </c>
      <c r="O1034" s="31">
        <v>0</v>
      </c>
      <c r="P1034" s="31">
        <v>0</v>
      </c>
      <c r="Q1034" s="31">
        <v>0</v>
      </c>
      <c r="R1034" s="31">
        <v>0</v>
      </c>
      <c r="S1034" s="31">
        <v>0</v>
      </c>
      <c r="T1034" s="31">
        <v>0</v>
      </c>
      <c r="U1034" s="31">
        <v>0</v>
      </c>
      <c r="V1034" s="31">
        <v>0</v>
      </c>
      <c r="W1034" s="31">
        <v>0</v>
      </c>
      <c r="X1034" s="31">
        <v>0</v>
      </c>
      <c r="Y1034" s="31">
        <v>0</v>
      </c>
      <c r="Z1034" s="31">
        <v>0</v>
      </c>
      <c r="AA1034" s="31">
        <v>0</v>
      </c>
      <c r="AB1034" s="31">
        <v>0</v>
      </c>
      <c r="AC1034" s="31">
        <f>ROUND((E1034+F1034+G1034+H1034+I1034+J1034)*1.5%,2)</f>
        <v>10810.77</v>
      </c>
      <c r="AD1034" s="31">
        <v>0</v>
      </c>
      <c r="AE1034" s="31">
        <v>0</v>
      </c>
      <c r="AF1034" s="34" t="s">
        <v>274</v>
      </c>
      <c r="AG1034" s="34">
        <v>2022</v>
      </c>
      <c r="AH1034" s="35">
        <v>2022</v>
      </c>
      <c r="AT1034" s="20" t="e">
        <f t="shared" si="220"/>
        <v>#N/A</v>
      </c>
      <c r="BZ1034" s="71"/>
    </row>
    <row r="1035" spans="1:78" ht="61.5" x14ac:dyDescent="0.85">
      <c r="A1035" s="20">
        <v>1</v>
      </c>
      <c r="B1035" s="66">
        <f>SUBTOTAL(103,$A$948:A1035)</f>
        <v>86</v>
      </c>
      <c r="C1035" s="24" t="s">
        <v>441</v>
      </c>
      <c r="D1035" s="31">
        <f t="shared" si="221"/>
        <v>4760772.24</v>
      </c>
      <c r="E1035" s="31">
        <v>0</v>
      </c>
      <c r="F1035" s="31">
        <v>0</v>
      </c>
      <c r="G1035" s="31">
        <v>0</v>
      </c>
      <c r="H1035" s="31">
        <v>0</v>
      </c>
      <c r="I1035" s="31">
        <v>0</v>
      </c>
      <c r="J1035" s="31">
        <v>0</v>
      </c>
      <c r="K1035" s="33">
        <v>0</v>
      </c>
      <c r="L1035" s="31">
        <v>0</v>
      </c>
      <c r="M1035" s="31">
        <v>1024</v>
      </c>
      <c r="N1035" s="31">
        <v>4690416</v>
      </c>
      <c r="O1035" s="31">
        <v>0</v>
      </c>
      <c r="P1035" s="31">
        <v>0</v>
      </c>
      <c r="Q1035" s="31">
        <v>0</v>
      </c>
      <c r="R1035" s="31">
        <v>0</v>
      </c>
      <c r="S1035" s="31">
        <v>0</v>
      </c>
      <c r="T1035" s="31">
        <v>0</v>
      </c>
      <c r="U1035" s="31">
        <v>0</v>
      </c>
      <c r="V1035" s="31">
        <v>0</v>
      </c>
      <c r="W1035" s="31">
        <v>0</v>
      </c>
      <c r="X1035" s="31">
        <v>0</v>
      </c>
      <c r="Y1035" s="31">
        <v>0</v>
      </c>
      <c r="Z1035" s="31">
        <v>0</v>
      </c>
      <c r="AA1035" s="31">
        <v>0</v>
      </c>
      <c r="AB1035" s="31">
        <v>0</v>
      </c>
      <c r="AC1035" s="31">
        <f>ROUND(N1035*1.5%,2)</f>
        <v>70356.240000000005</v>
      </c>
      <c r="AD1035" s="31">
        <v>0</v>
      </c>
      <c r="AE1035" s="31">
        <v>0</v>
      </c>
      <c r="AF1035" s="34" t="s">
        <v>274</v>
      </c>
      <c r="AG1035" s="34">
        <v>2022</v>
      </c>
      <c r="AH1035" s="35">
        <v>2022</v>
      </c>
      <c r="AT1035" s="20" t="e">
        <f t="shared" si="220"/>
        <v>#N/A</v>
      </c>
      <c r="BZ1035" s="71"/>
    </row>
    <row r="1036" spans="1:78" ht="61.5" x14ac:dyDescent="0.85">
      <c r="A1036" s="20">
        <v>1</v>
      </c>
      <c r="B1036" s="66">
        <f>SUBTOTAL(103,$A$948:A1036)</f>
        <v>87</v>
      </c>
      <c r="C1036" s="24" t="s">
        <v>442</v>
      </c>
      <c r="D1036" s="31">
        <f t="shared" si="221"/>
        <v>4331631.53</v>
      </c>
      <c r="E1036" s="31">
        <v>0</v>
      </c>
      <c r="F1036" s="31">
        <v>0</v>
      </c>
      <c r="G1036" s="31">
        <v>0</v>
      </c>
      <c r="H1036" s="31">
        <v>0</v>
      </c>
      <c r="I1036" s="31">
        <v>0</v>
      </c>
      <c r="J1036" s="31">
        <v>0</v>
      </c>
      <c r="K1036" s="33">
        <v>2</v>
      </c>
      <c r="L1036" s="31">
        <v>4331631.53</v>
      </c>
      <c r="M1036" s="31">
        <v>0</v>
      </c>
      <c r="N1036" s="31">
        <v>0</v>
      </c>
      <c r="O1036" s="31">
        <v>0</v>
      </c>
      <c r="P1036" s="31">
        <v>0</v>
      </c>
      <c r="Q1036" s="31">
        <v>0</v>
      </c>
      <c r="R1036" s="31">
        <v>0</v>
      </c>
      <c r="S1036" s="31">
        <v>0</v>
      </c>
      <c r="T1036" s="31">
        <v>0</v>
      </c>
      <c r="U1036" s="31">
        <v>0</v>
      </c>
      <c r="V1036" s="31">
        <v>0</v>
      </c>
      <c r="W1036" s="31">
        <v>0</v>
      </c>
      <c r="X1036" s="31">
        <v>0</v>
      </c>
      <c r="Y1036" s="31">
        <v>0</v>
      </c>
      <c r="Z1036" s="31">
        <v>0</v>
      </c>
      <c r="AA1036" s="31">
        <v>0</v>
      </c>
      <c r="AB1036" s="31">
        <v>0</v>
      </c>
      <c r="AC1036" s="31">
        <v>0</v>
      </c>
      <c r="AD1036" s="31">
        <v>0</v>
      </c>
      <c r="AE1036" s="31">
        <v>0</v>
      </c>
      <c r="AF1036" s="34" t="s">
        <v>274</v>
      </c>
      <c r="AG1036" s="34">
        <v>2022</v>
      </c>
      <c r="AH1036" s="35" t="s">
        <v>274</v>
      </c>
      <c r="AT1036" s="20">
        <f t="shared" si="220"/>
        <v>1</v>
      </c>
      <c r="BZ1036" s="71"/>
    </row>
    <row r="1037" spans="1:78" ht="61.5" x14ac:dyDescent="0.85">
      <c r="A1037" s="20">
        <v>1</v>
      </c>
      <c r="B1037" s="66">
        <f>SUBTOTAL(103,$A$948:A1037)</f>
        <v>88</v>
      </c>
      <c r="C1037" s="24" t="s">
        <v>443</v>
      </c>
      <c r="D1037" s="31">
        <f t="shared" si="221"/>
        <v>2789948.7</v>
      </c>
      <c r="E1037" s="31">
        <v>0</v>
      </c>
      <c r="F1037" s="31">
        <v>0</v>
      </c>
      <c r="G1037" s="31">
        <v>0</v>
      </c>
      <c r="H1037" s="31">
        <v>0</v>
      </c>
      <c r="I1037" s="31">
        <v>0</v>
      </c>
      <c r="J1037" s="31">
        <v>0</v>
      </c>
      <c r="K1037" s="33">
        <v>0</v>
      </c>
      <c r="L1037" s="31">
        <v>0</v>
      </c>
      <c r="M1037" s="31">
        <v>600</v>
      </c>
      <c r="N1037" s="31">
        <v>2748717.93</v>
      </c>
      <c r="O1037" s="31">
        <v>0</v>
      </c>
      <c r="P1037" s="31">
        <v>0</v>
      </c>
      <c r="Q1037" s="31">
        <v>0</v>
      </c>
      <c r="R1037" s="31">
        <v>0</v>
      </c>
      <c r="S1037" s="31">
        <v>0</v>
      </c>
      <c r="T1037" s="31">
        <v>0</v>
      </c>
      <c r="U1037" s="31">
        <v>0</v>
      </c>
      <c r="V1037" s="31">
        <v>0</v>
      </c>
      <c r="W1037" s="31">
        <v>0</v>
      </c>
      <c r="X1037" s="31">
        <v>0</v>
      </c>
      <c r="Y1037" s="31">
        <v>0</v>
      </c>
      <c r="Z1037" s="31">
        <v>0</v>
      </c>
      <c r="AA1037" s="31">
        <v>0</v>
      </c>
      <c r="AB1037" s="31">
        <v>0</v>
      </c>
      <c r="AC1037" s="31">
        <f t="shared" ref="AC1037:AC1044" si="222">ROUND(N1037*1.5%,2)</f>
        <v>41230.769999999997</v>
      </c>
      <c r="AD1037" s="31">
        <v>0</v>
      </c>
      <c r="AE1037" s="31">
        <v>0</v>
      </c>
      <c r="AF1037" s="34" t="s">
        <v>274</v>
      </c>
      <c r="AG1037" s="34">
        <v>2022</v>
      </c>
      <c r="AH1037" s="35">
        <v>2022</v>
      </c>
      <c r="AT1037" s="20" t="e">
        <f t="shared" si="220"/>
        <v>#N/A</v>
      </c>
      <c r="BZ1037" s="71"/>
    </row>
    <row r="1038" spans="1:78" ht="61.5" x14ac:dyDescent="0.85">
      <c r="A1038" s="20">
        <v>1</v>
      </c>
      <c r="B1038" s="66">
        <f>SUBTOTAL(103,$A$948:A1038)</f>
        <v>89</v>
      </c>
      <c r="C1038" s="24" t="s">
        <v>444</v>
      </c>
      <c r="D1038" s="31">
        <f t="shared" si="221"/>
        <v>3242314.75</v>
      </c>
      <c r="E1038" s="31">
        <v>0</v>
      </c>
      <c r="F1038" s="31">
        <v>0</v>
      </c>
      <c r="G1038" s="31">
        <v>0</v>
      </c>
      <c r="H1038" s="31">
        <v>0</v>
      </c>
      <c r="I1038" s="31">
        <v>0</v>
      </c>
      <c r="J1038" s="31">
        <v>0</v>
      </c>
      <c r="K1038" s="33">
        <v>0</v>
      </c>
      <c r="L1038" s="31">
        <v>0</v>
      </c>
      <c r="M1038" s="31">
        <v>747</v>
      </c>
      <c r="N1038" s="31">
        <v>3194398.77</v>
      </c>
      <c r="O1038" s="31">
        <v>0</v>
      </c>
      <c r="P1038" s="31">
        <v>0</v>
      </c>
      <c r="Q1038" s="31">
        <v>0</v>
      </c>
      <c r="R1038" s="31">
        <v>0</v>
      </c>
      <c r="S1038" s="31">
        <v>0</v>
      </c>
      <c r="T1038" s="31">
        <v>0</v>
      </c>
      <c r="U1038" s="31">
        <v>0</v>
      </c>
      <c r="V1038" s="31">
        <v>0</v>
      </c>
      <c r="W1038" s="31">
        <v>0</v>
      </c>
      <c r="X1038" s="31">
        <v>0</v>
      </c>
      <c r="Y1038" s="31">
        <v>0</v>
      </c>
      <c r="Z1038" s="31">
        <v>0</v>
      </c>
      <c r="AA1038" s="31">
        <v>0</v>
      </c>
      <c r="AB1038" s="31">
        <v>0</v>
      </c>
      <c r="AC1038" s="31">
        <f t="shared" si="222"/>
        <v>47915.98</v>
      </c>
      <c r="AD1038" s="31">
        <v>0</v>
      </c>
      <c r="AE1038" s="31">
        <v>0</v>
      </c>
      <c r="AF1038" s="34" t="s">
        <v>274</v>
      </c>
      <c r="AG1038" s="34">
        <v>2022</v>
      </c>
      <c r="AH1038" s="35">
        <v>2022</v>
      </c>
      <c r="AT1038" s="20" t="e">
        <f t="shared" si="220"/>
        <v>#N/A</v>
      </c>
      <c r="BZ1038" s="71"/>
    </row>
    <row r="1039" spans="1:78" ht="61.5" x14ac:dyDescent="0.85">
      <c r="A1039" s="20">
        <v>1</v>
      </c>
      <c r="B1039" s="66">
        <f>SUBTOTAL(103,$A$948:A1039)</f>
        <v>90</v>
      </c>
      <c r="C1039" s="24" t="s">
        <v>445</v>
      </c>
      <c r="D1039" s="31">
        <f t="shared" si="221"/>
        <v>2210461.9000000004</v>
      </c>
      <c r="E1039" s="31">
        <v>0</v>
      </c>
      <c r="F1039" s="31">
        <v>0</v>
      </c>
      <c r="G1039" s="31">
        <v>0</v>
      </c>
      <c r="H1039" s="31">
        <v>0</v>
      </c>
      <c r="I1039" s="31">
        <v>0</v>
      </c>
      <c r="J1039" s="31">
        <v>0</v>
      </c>
      <c r="K1039" s="33">
        <v>0</v>
      </c>
      <c r="L1039" s="31">
        <v>0</v>
      </c>
      <c r="M1039" s="31">
        <v>483</v>
      </c>
      <c r="N1039" s="31">
        <v>2177794.9800000004</v>
      </c>
      <c r="O1039" s="31">
        <v>0</v>
      </c>
      <c r="P1039" s="31">
        <v>0</v>
      </c>
      <c r="Q1039" s="31">
        <v>0</v>
      </c>
      <c r="R1039" s="31">
        <v>0</v>
      </c>
      <c r="S1039" s="31">
        <v>0</v>
      </c>
      <c r="T1039" s="31">
        <v>0</v>
      </c>
      <c r="U1039" s="31">
        <v>0</v>
      </c>
      <c r="V1039" s="31">
        <v>0</v>
      </c>
      <c r="W1039" s="31">
        <v>0</v>
      </c>
      <c r="X1039" s="31">
        <v>0</v>
      </c>
      <c r="Y1039" s="31">
        <v>0</v>
      </c>
      <c r="Z1039" s="31">
        <v>0</v>
      </c>
      <c r="AA1039" s="31">
        <v>0</v>
      </c>
      <c r="AB1039" s="31">
        <v>0</v>
      </c>
      <c r="AC1039" s="31">
        <f t="shared" si="222"/>
        <v>32666.92</v>
      </c>
      <c r="AD1039" s="31">
        <v>0</v>
      </c>
      <c r="AE1039" s="31">
        <v>0</v>
      </c>
      <c r="AF1039" s="34" t="s">
        <v>274</v>
      </c>
      <c r="AG1039" s="34">
        <v>2022</v>
      </c>
      <c r="AH1039" s="35">
        <v>2022</v>
      </c>
      <c r="AT1039" s="20" t="e">
        <f t="shared" si="220"/>
        <v>#N/A</v>
      </c>
      <c r="BZ1039" s="71"/>
    </row>
    <row r="1040" spans="1:78" ht="61.5" x14ac:dyDescent="0.85">
      <c r="A1040" s="20">
        <v>1</v>
      </c>
      <c r="B1040" s="66">
        <f>SUBTOTAL(103,$A$948:A1040)</f>
        <v>91</v>
      </c>
      <c r="C1040" s="24" t="s">
        <v>446</v>
      </c>
      <c r="D1040" s="31">
        <f t="shared" si="221"/>
        <v>7557284.3099999996</v>
      </c>
      <c r="E1040" s="31">
        <v>0</v>
      </c>
      <c r="F1040" s="31">
        <v>0</v>
      </c>
      <c r="G1040" s="31">
        <v>0</v>
      </c>
      <c r="H1040" s="31">
        <v>0</v>
      </c>
      <c r="I1040" s="31">
        <v>0</v>
      </c>
      <c r="J1040" s="31">
        <v>0</v>
      </c>
      <c r="K1040" s="33">
        <v>0</v>
      </c>
      <c r="L1040" s="31">
        <v>0</v>
      </c>
      <c r="M1040" s="31">
        <v>1501</v>
      </c>
      <c r="N1040" s="31">
        <v>7445600.3099999996</v>
      </c>
      <c r="O1040" s="31">
        <v>0</v>
      </c>
      <c r="P1040" s="31">
        <v>0</v>
      </c>
      <c r="Q1040" s="31">
        <v>0</v>
      </c>
      <c r="R1040" s="31">
        <v>0</v>
      </c>
      <c r="S1040" s="31">
        <v>0</v>
      </c>
      <c r="T1040" s="31">
        <v>0</v>
      </c>
      <c r="U1040" s="31">
        <v>0</v>
      </c>
      <c r="V1040" s="31">
        <v>0</v>
      </c>
      <c r="W1040" s="31">
        <v>0</v>
      </c>
      <c r="X1040" s="31">
        <v>0</v>
      </c>
      <c r="Y1040" s="31">
        <v>0</v>
      </c>
      <c r="Z1040" s="31">
        <v>0</v>
      </c>
      <c r="AA1040" s="31">
        <v>0</v>
      </c>
      <c r="AB1040" s="31">
        <v>0</v>
      </c>
      <c r="AC1040" s="31">
        <f t="shared" si="222"/>
        <v>111684</v>
      </c>
      <c r="AD1040" s="31">
        <v>0</v>
      </c>
      <c r="AE1040" s="31">
        <v>0</v>
      </c>
      <c r="AF1040" s="34" t="s">
        <v>274</v>
      </c>
      <c r="AG1040" s="34">
        <v>2022</v>
      </c>
      <c r="AH1040" s="35">
        <v>2022</v>
      </c>
      <c r="AT1040" s="20" t="e">
        <f t="shared" si="220"/>
        <v>#N/A</v>
      </c>
      <c r="BZ1040" s="71"/>
    </row>
    <row r="1041" spans="1:78" ht="61.5" x14ac:dyDescent="0.85">
      <c r="A1041" s="20">
        <v>1</v>
      </c>
      <c r="B1041" s="66">
        <f>SUBTOTAL(103,$A$948:A1041)</f>
        <v>92</v>
      </c>
      <c r="C1041" s="24" t="s">
        <v>447</v>
      </c>
      <c r="D1041" s="31">
        <f t="shared" si="221"/>
        <v>3073377.74</v>
      </c>
      <c r="E1041" s="31">
        <v>0</v>
      </c>
      <c r="F1041" s="31">
        <v>0</v>
      </c>
      <c r="G1041" s="31">
        <v>0</v>
      </c>
      <c r="H1041" s="31">
        <v>0</v>
      </c>
      <c r="I1041" s="31">
        <v>0</v>
      </c>
      <c r="J1041" s="31">
        <v>0</v>
      </c>
      <c r="K1041" s="33">
        <v>0</v>
      </c>
      <c r="L1041" s="31">
        <v>0</v>
      </c>
      <c r="M1041" s="31">
        <v>600</v>
      </c>
      <c r="N1041" s="31">
        <v>3027958.3600000003</v>
      </c>
      <c r="O1041" s="31">
        <v>0</v>
      </c>
      <c r="P1041" s="31">
        <v>0</v>
      </c>
      <c r="Q1041" s="31">
        <v>0</v>
      </c>
      <c r="R1041" s="31">
        <v>0</v>
      </c>
      <c r="S1041" s="31">
        <v>0</v>
      </c>
      <c r="T1041" s="31">
        <v>0</v>
      </c>
      <c r="U1041" s="31">
        <v>0</v>
      </c>
      <c r="V1041" s="31">
        <v>0</v>
      </c>
      <c r="W1041" s="31">
        <v>0</v>
      </c>
      <c r="X1041" s="31">
        <v>0</v>
      </c>
      <c r="Y1041" s="31">
        <v>0</v>
      </c>
      <c r="Z1041" s="31">
        <v>0</v>
      </c>
      <c r="AA1041" s="31">
        <v>0</v>
      </c>
      <c r="AB1041" s="31">
        <v>0</v>
      </c>
      <c r="AC1041" s="31">
        <f t="shared" si="222"/>
        <v>45419.38</v>
      </c>
      <c r="AD1041" s="31">
        <v>0</v>
      </c>
      <c r="AE1041" s="31">
        <v>0</v>
      </c>
      <c r="AF1041" s="34" t="s">
        <v>274</v>
      </c>
      <c r="AG1041" s="34">
        <v>2022</v>
      </c>
      <c r="AH1041" s="35">
        <v>2022</v>
      </c>
      <c r="AT1041" s="20" t="e">
        <f t="shared" si="220"/>
        <v>#N/A</v>
      </c>
      <c r="BZ1041" s="71"/>
    </row>
    <row r="1042" spans="1:78" ht="61.5" x14ac:dyDescent="0.85">
      <c r="A1042" s="20">
        <v>1</v>
      </c>
      <c r="B1042" s="66">
        <f>SUBTOTAL(103,$A$948:A1042)</f>
        <v>93</v>
      </c>
      <c r="C1042" s="24" t="s">
        <v>448</v>
      </c>
      <c r="D1042" s="31">
        <f t="shared" si="221"/>
        <v>1665415</v>
      </c>
      <c r="E1042" s="31">
        <v>0</v>
      </c>
      <c r="F1042" s="31">
        <v>0</v>
      </c>
      <c r="G1042" s="31">
        <v>0</v>
      </c>
      <c r="H1042" s="31">
        <v>0</v>
      </c>
      <c r="I1042" s="31">
        <v>0</v>
      </c>
      <c r="J1042" s="31">
        <v>0</v>
      </c>
      <c r="K1042" s="33">
        <v>0</v>
      </c>
      <c r="L1042" s="31">
        <v>0</v>
      </c>
      <c r="M1042" s="31">
        <v>369</v>
      </c>
      <c r="N1042" s="31">
        <v>1640802.96</v>
      </c>
      <c r="O1042" s="31">
        <v>0</v>
      </c>
      <c r="P1042" s="31">
        <v>0</v>
      </c>
      <c r="Q1042" s="31">
        <v>0</v>
      </c>
      <c r="R1042" s="31">
        <v>0</v>
      </c>
      <c r="S1042" s="31">
        <v>0</v>
      </c>
      <c r="T1042" s="31">
        <v>0</v>
      </c>
      <c r="U1042" s="31">
        <v>0</v>
      </c>
      <c r="V1042" s="31">
        <v>0</v>
      </c>
      <c r="W1042" s="31">
        <v>0</v>
      </c>
      <c r="X1042" s="31">
        <v>0</v>
      </c>
      <c r="Y1042" s="31">
        <v>0</v>
      </c>
      <c r="Z1042" s="31">
        <v>0</v>
      </c>
      <c r="AA1042" s="31">
        <v>0</v>
      </c>
      <c r="AB1042" s="31">
        <v>0</v>
      </c>
      <c r="AC1042" s="31">
        <f t="shared" si="222"/>
        <v>24612.04</v>
      </c>
      <c r="AD1042" s="31">
        <v>0</v>
      </c>
      <c r="AE1042" s="31">
        <v>0</v>
      </c>
      <c r="AF1042" s="34" t="s">
        <v>274</v>
      </c>
      <c r="AG1042" s="34">
        <v>2022</v>
      </c>
      <c r="AH1042" s="35">
        <v>2022</v>
      </c>
      <c r="AT1042" s="20" t="e">
        <f t="shared" si="220"/>
        <v>#N/A</v>
      </c>
      <c r="BZ1042" s="71"/>
    </row>
    <row r="1043" spans="1:78" ht="61.5" x14ac:dyDescent="0.85">
      <c r="A1043" s="20">
        <v>1</v>
      </c>
      <c r="B1043" s="66">
        <f>SUBTOTAL(103,$A$948:A1043)</f>
        <v>94</v>
      </c>
      <c r="C1043" s="24" t="s">
        <v>214</v>
      </c>
      <c r="D1043" s="31">
        <f t="shared" si="221"/>
        <v>2384110.7700000005</v>
      </c>
      <c r="E1043" s="31">
        <v>0</v>
      </c>
      <c r="F1043" s="31">
        <v>0</v>
      </c>
      <c r="G1043" s="31">
        <v>0</v>
      </c>
      <c r="H1043" s="31">
        <v>0</v>
      </c>
      <c r="I1043" s="31">
        <v>0</v>
      </c>
      <c r="J1043" s="31">
        <v>0</v>
      </c>
      <c r="K1043" s="33">
        <v>0</v>
      </c>
      <c r="L1043" s="31">
        <v>0</v>
      </c>
      <c r="M1043" s="31">
        <v>525</v>
      </c>
      <c r="N1043" s="31">
        <v>2348877.6100000003</v>
      </c>
      <c r="O1043" s="31">
        <v>0</v>
      </c>
      <c r="P1043" s="31">
        <v>0</v>
      </c>
      <c r="Q1043" s="31">
        <v>0</v>
      </c>
      <c r="R1043" s="31">
        <v>0</v>
      </c>
      <c r="S1043" s="31">
        <v>0</v>
      </c>
      <c r="T1043" s="31">
        <v>0</v>
      </c>
      <c r="U1043" s="31">
        <v>0</v>
      </c>
      <c r="V1043" s="31">
        <v>0</v>
      </c>
      <c r="W1043" s="31">
        <v>0</v>
      </c>
      <c r="X1043" s="31">
        <v>0</v>
      </c>
      <c r="Y1043" s="31">
        <v>0</v>
      </c>
      <c r="Z1043" s="31">
        <v>0</v>
      </c>
      <c r="AA1043" s="31">
        <v>0</v>
      </c>
      <c r="AB1043" s="31">
        <v>0</v>
      </c>
      <c r="AC1043" s="31">
        <f t="shared" si="222"/>
        <v>35233.160000000003</v>
      </c>
      <c r="AD1043" s="31">
        <v>0</v>
      </c>
      <c r="AE1043" s="31">
        <v>0</v>
      </c>
      <c r="AF1043" s="34" t="s">
        <v>274</v>
      </c>
      <c r="AG1043" s="34">
        <v>2022</v>
      </c>
      <c r="AH1043" s="35">
        <v>2022</v>
      </c>
      <c r="AT1043" s="20" t="e">
        <f t="shared" si="220"/>
        <v>#N/A</v>
      </c>
      <c r="BZ1043" s="71"/>
    </row>
    <row r="1044" spans="1:78" ht="61.5" x14ac:dyDescent="0.85">
      <c r="A1044" s="20">
        <v>1</v>
      </c>
      <c r="B1044" s="66">
        <f>SUBTOTAL(103,$A$948:A1044)</f>
        <v>95</v>
      </c>
      <c r="C1044" s="24" t="s">
        <v>213</v>
      </c>
      <c r="D1044" s="31">
        <f t="shared" si="221"/>
        <v>2817533.3499999996</v>
      </c>
      <c r="E1044" s="31">
        <v>0</v>
      </c>
      <c r="F1044" s="31">
        <v>0</v>
      </c>
      <c r="G1044" s="31">
        <v>0</v>
      </c>
      <c r="H1044" s="31">
        <v>0</v>
      </c>
      <c r="I1044" s="31">
        <v>0</v>
      </c>
      <c r="J1044" s="31">
        <v>0</v>
      </c>
      <c r="K1044" s="33">
        <v>0</v>
      </c>
      <c r="L1044" s="31">
        <v>0</v>
      </c>
      <c r="M1044" s="31">
        <v>614</v>
      </c>
      <c r="N1044" s="31">
        <v>2775894.9299999997</v>
      </c>
      <c r="O1044" s="31">
        <v>0</v>
      </c>
      <c r="P1044" s="31">
        <v>0</v>
      </c>
      <c r="Q1044" s="31">
        <v>0</v>
      </c>
      <c r="R1044" s="31">
        <v>0</v>
      </c>
      <c r="S1044" s="31">
        <v>0</v>
      </c>
      <c r="T1044" s="31">
        <v>0</v>
      </c>
      <c r="U1044" s="31">
        <v>0</v>
      </c>
      <c r="V1044" s="31">
        <v>0</v>
      </c>
      <c r="W1044" s="31">
        <v>0</v>
      </c>
      <c r="X1044" s="31">
        <v>0</v>
      </c>
      <c r="Y1044" s="31">
        <v>0</v>
      </c>
      <c r="Z1044" s="31">
        <v>0</v>
      </c>
      <c r="AA1044" s="31">
        <v>0</v>
      </c>
      <c r="AB1044" s="31">
        <v>0</v>
      </c>
      <c r="AC1044" s="31">
        <f t="shared" si="222"/>
        <v>41638.42</v>
      </c>
      <c r="AD1044" s="31">
        <v>0</v>
      </c>
      <c r="AE1044" s="31">
        <v>0</v>
      </c>
      <c r="AF1044" s="34" t="s">
        <v>274</v>
      </c>
      <c r="AG1044" s="34">
        <v>2022</v>
      </c>
      <c r="AH1044" s="35">
        <v>2022</v>
      </c>
      <c r="AT1044" s="20" t="e">
        <f t="shared" si="220"/>
        <v>#N/A</v>
      </c>
      <c r="BZ1044" s="71"/>
    </row>
    <row r="1045" spans="1:78" ht="61.5" x14ac:dyDescent="0.85">
      <c r="A1045" s="20">
        <v>1</v>
      </c>
      <c r="B1045" s="66">
        <f>SUBTOTAL(103,$A$948:A1045)</f>
        <v>96</v>
      </c>
      <c r="C1045" s="24" t="s">
        <v>449</v>
      </c>
      <c r="D1045" s="31">
        <f t="shared" si="221"/>
        <v>4331631.53</v>
      </c>
      <c r="E1045" s="31">
        <v>0</v>
      </c>
      <c r="F1045" s="31">
        <v>0</v>
      </c>
      <c r="G1045" s="31">
        <v>0</v>
      </c>
      <c r="H1045" s="31">
        <v>0</v>
      </c>
      <c r="I1045" s="31">
        <v>0</v>
      </c>
      <c r="J1045" s="31">
        <v>0</v>
      </c>
      <c r="K1045" s="33">
        <v>2</v>
      </c>
      <c r="L1045" s="31">
        <v>4331631.53</v>
      </c>
      <c r="M1045" s="31">
        <v>0</v>
      </c>
      <c r="N1045" s="31">
        <v>0</v>
      </c>
      <c r="O1045" s="31">
        <v>0</v>
      </c>
      <c r="P1045" s="31">
        <v>0</v>
      </c>
      <c r="Q1045" s="31">
        <v>0</v>
      </c>
      <c r="R1045" s="31">
        <v>0</v>
      </c>
      <c r="S1045" s="31">
        <v>0</v>
      </c>
      <c r="T1045" s="31">
        <v>0</v>
      </c>
      <c r="U1045" s="31">
        <v>0</v>
      </c>
      <c r="V1045" s="31">
        <v>0</v>
      </c>
      <c r="W1045" s="31">
        <v>0</v>
      </c>
      <c r="X1045" s="31">
        <v>0</v>
      </c>
      <c r="Y1045" s="31">
        <v>0</v>
      </c>
      <c r="Z1045" s="31">
        <v>0</v>
      </c>
      <c r="AA1045" s="31">
        <v>0</v>
      </c>
      <c r="AB1045" s="31">
        <v>0</v>
      </c>
      <c r="AC1045" s="31">
        <v>0</v>
      </c>
      <c r="AD1045" s="31">
        <v>0</v>
      </c>
      <c r="AE1045" s="31">
        <v>0</v>
      </c>
      <c r="AF1045" s="34" t="s">
        <v>274</v>
      </c>
      <c r="AG1045" s="34">
        <v>2022</v>
      </c>
      <c r="AH1045" s="35" t="s">
        <v>274</v>
      </c>
      <c r="AT1045" s="20" t="e">
        <f t="shared" si="220"/>
        <v>#N/A</v>
      </c>
      <c r="BZ1045" s="71"/>
    </row>
    <row r="1046" spans="1:78" ht="61.5" x14ac:dyDescent="0.85">
      <c r="A1046" s="20">
        <v>1</v>
      </c>
      <c r="B1046" s="66">
        <f>SUBTOTAL(103,$A$948:A1046)</f>
        <v>97</v>
      </c>
      <c r="C1046" s="24" t="s">
        <v>450</v>
      </c>
      <c r="D1046" s="31">
        <f t="shared" si="221"/>
        <v>1660239.97</v>
      </c>
      <c r="E1046" s="31">
        <v>0</v>
      </c>
      <c r="F1046" s="31">
        <v>0</v>
      </c>
      <c r="G1046" s="31">
        <v>0</v>
      </c>
      <c r="H1046" s="31">
        <v>0</v>
      </c>
      <c r="I1046" s="31">
        <v>0</v>
      </c>
      <c r="J1046" s="31">
        <v>0</v>
      </c>
      <c r="K1046" s="33">
        <v>0</v>
      </c>
      <c r="L1046" s="31">
        <v>0</v>
      </c>
      <c r="M1046" s="31">
        <v>370</v>
      </c>
      <c r="N1046" s="31">
        <v>1635704.4</v>
      </c>
      <c r="O1046" s="31">
        <v>0</v>
      </c>
      <c r="P1046" s="31">
        <v>0</v>
      </c>
      <c r="Q1046" s="31">
        <v>0</v>
      </c>
      <c r="R1046" s="31">
        <v>0</v>
      </c>
      <c r="S1046" s="31">
        <v>0</v>
      </c>
      <c r="T1046" s="31">
        <v>0</v>
      </c>
      <c r="U1046" s="31">
        <v>0</v>
      </c>
      <c r="V1046" s="31">
        <v>0</v>
      </c>
      <c r="W1046" s="31">
        <v>0</v>
      </c>
      <c r="X1046" s="31">
        <v>0</v>
      </c>
      <c r="Y1046" s="31">
        <v>0</v>
      </c>
      <c r="Z1046" s="31">
        <v>0</v>
      </c>
      <c r="AA1046" s="31">
        <v>0</v>
      </c>
      <c r="AB1046" s="31">
        <v>0</v>
      </c>
      <c r="AC1046" s="31">
        <f>ROUND(N1046*1.5%,2)</f>
        <v>24535.57</v>
      </c>
      <c r="AD1046" s="31">
        <v>0</v>
      </c>
      <c r="AE1046" s="31">
        <v>0</v>
      </c>
      <c r="AF1046" s="34" t="s">
        <v>274</v>
      </c>
      <c r="AG1046" s="34">
        <v>2022</v>
      </c>
      <c r="AH1046" s="35">
        <v>2022</v>
      </c>
      <c r="AT1046" s="20" t="e">
        <f t="shared" si="220"/>
        <v>#N/A</v>
      </c>
      <c r="BZ1046" s="71"/>
    </row>
    <row r="1047" spans="1:78" ht="61.5" x14ac:dyDescent="0.85">
      <c r="A1047" s="20">
        <v>1</v>
      </c>
      <c r="B1047" s="66">
        <f>SUBTOTAL(103,$A$948:A1047)</f>
        <v>98</v>
      </c>
      <c r="C1047" s="24" t="s">
        <v>451</v>
      </c>
      <c r="D1047" s="31">
        <f t="shared" si="221"/>
        <v>2407235.63</v>
      </c>
      <c r="E1047" s="31">
        <v>0</v>
      </c>
      <c r="F1047" s="31">
        <v>0</v>
      </c>
      <c r="G1047" s="31">
        <v>0</v>
      </c>
      <c r="H1047" s="31">
        <v>0</v>
      </c>
      <c r="I1047" s="31">
        <v>0</v>
      </c>
      <c r="J1047" s="31">
        <v>0</v>
      </c>
      <c r="K1047" s="33">
        <v>0</v>
      </c>
      <c r="L1047" s="31">
        <v>0</v>
      </c>
      <c r="M1047" s="31">
        <v>530</v>
      </c>
      <c r="N1047" s="31">
        <v>2371660.7199999997</v>
      </c>
      <c r="O1047" s="31">
        <v>0</v>
      </c>
      <c r="P1047" s="31">
        <v>0</v>
      </c>
      <c r="Q1047" s="31">
        <v>0</v>
      </c>
      <c r="R1047" s="31">
        <v>0</v>
      </c>
      <c r="S1047" s="31">
        <v>0</v>
      </c>
      <c r="T1047" s="31">
        <v>0</v>
      </c>
      <c r="U1047" s="31">
        <v>0</v>
      </c>
      <c r="V1047" s="31">
        <v>0</v>
      </c>
      <c r="W1047" s="31">
        <v>0</v>
      </c>
      <c r="X1047" s="31">
        <v>0</v>
      </c>
      <c r="Y1047" s="31">
        <v>0</v>
      </c>
      <c r="Z1047" s="31">
        <v>0</v>
      </c>
      <c r="AA1047" s="31">
        <v>0</v>
      </c>
      <c r="AB1047" s="31">
        <v>0</v>
      </c>
      <c r="AC1047" s="31">
        <f>ROUND(N1047*1.5%,2)</f>
        <v>35574.910000000003</v>
      </c>
      <c r="AD1047" s="31">
        <v>0</v>
      </c>
      <c r="AE1047" s="31">
        <v>0</v>
      </c>
      <c r="AF1047" s="34" t="s">
        <v>274</v>
      </c>
      <c r="AG1047" s="34">
        <v>2022</v>
      </c>
      <c r="AH1047" s="35">
        <v>2022</v>
      </c>
      <c r="AT1047" s="20" t="e">
        <f t="shared" si="220"/>
        <v>#N/A</v>
      </c>
      <c r="BZ1047" s="71"/>
    </row>
    <row r="1048" spans="1:78" ht="61.5" x14ac:dyDescent="0.85">
      <c r="A1048" s="20">
        <v>1</v>
      </c>
      <c r="B1048" s="66">
        <f>SUBTOTAL(103,$A$948:A1048)</f>
        <v>99</v>
      </c>
      <c r="C1048" s="24" t="s">
        <v>452</v>
      </c>
      <c r="D1048" s="31">
        <f t="shared" si="221"/>
        <v>1790689.27</v>
      </c>
      <c r="E1048" s="31">
        <v>0</v>
      </c>
      <c r="F1048" s="31">
        <v>0</v>
      </c>
      <c r="G1048" s="31">
        <v>0</v>
      </c>
      <c r="H1048" s="31">
        <v>0</v>
      </c>
      <c r="I1048" s="31">
        <v>0</v>
      </c>
      <c r="J1048" s="31">
        <v>0</v>
      </c>
      <c r="K1048" s="33">
        <v>0</v>
      </c>
      <c r="L1048" s="31">
        <v>0</v>
      </c>
      <c r="M1048" s="31">
        <v>396</v>
      </c>
      <c r="N1048" s="31">
        <v>1764225.8800000001</v>
      </c>
      <c r="O1048" s="31">
        <v>0</v>
      </c>
      <c r="P1048" s="31">
        <v>0</v>
      </c>
      <c r="Q1048" s="31">
        <v>0</v>
      </c>
      <c r="R1048" s="31">
        <v>0</v>
      </c>
      <c r="S1048" s="31">
        <v>0</v>
      </c>
      <c r="T1048" s="31">
        <v>0</v>
      </c>
      <c r="U1048" s="31">
        <v>0</v>
      </c>
      <c r="V1048" s="31">
        <v>0</v>
      </c>
      <c r="W1048" s="31">
        <v>0</v>
      </c>
      <c r="X1048" s="31">
        <v>0</v>
      </c>
      <c r="Y1048" s="31">
        <v>0</v>
      </c>
      <c r="Z1048" s="31">
        <v>0</v>
      </c>
      <c r="AA1048" s="31">
        <v>0</v>
      </c>
      <c r="AB1048" s="31">
        <v>0</v>
      </c>
      <c r="AC1048" s="31">
        <f>ROUND(N1048*1.5%,2)</f>
        <v>26463.39</v>
      </c>
      <c r="AD1048" s="31">
        <v>0</v>
      </c>
      <c r="AE1048" s="31">
        <v>0</v>
      </c>
      <c r="AF1048" s="34" t="s">
        <v>274</v>
      </c>
      <c r="AG1048" s="34">
        <v>2022</v>
      </c>
      <c r="AH1048" s="35">
        <v>2022</v>
      </c>
      <c r="AT1048" s="20" t="e">
        <f t="shared" si="220"/>
        <v>#N/A</v>
      </c>
      <c r="BZ1048" s="71"/>
    </row>
    <row r="1049" spans="1:78" ht="61.5" x14ac:dyDescent="0.85">
      <c r="A1049" s="20">
        <v>1</v>
      </c>
      <c r="B1049" s="66">
        <f>SUBTOTAL(103,$A$948:A1049)</f>
        <v>100</v>
      </c>
      <c r="C1049" s="24" t="s">
        <v>839</v>
      </c>
      <c r="D1049" s="31">
        <f t="shared" si="221"/>
        <v>6300000</v>
      </c>
      <c r="E1049" s="31">
        <v>0</v>
      </c>
      <c r="F1049" s="31">
        <v>0</v>
      </c>
      <c r="G1049" s="31">
        <v>0</v>
      </c>
      <c r="H1049" s="31">
        <v>0</v>
      </c>
      <c r="I1049" s="31">
        <v>0</v>
      </c>
      <c r="J1049" s="31">
        <v>0</v>
      </c>
      <c r="K1049" s="33">
        <v>3</v>
      </c>
      <c r="L1049" s="31">
        <v>6300000</v>
      </c>
      <c r="M1049" s="31">
        <v>0</v>
      </c>
      <c r="N1049" s="31">
        <v>0</v>
      </c>
      <c r="O1049" s="31">
        <v>0</v>
      </c>
      <c r="P1049" s="31">
        <v>0</v>
      </c>
      <c r="Q1049" s="31">
        <v>0</v>
      </c>
      <c r="R1049" s="31">
        <v>0</v>
      </c>
      <c r="S1049" s="31">
        <v>0</v>
      </c>
      <c r="T1049" s="31">
        <v>0</v>
      </c>
      <c r="U1049" s="31">
        <v>0</v>
      </c>
      <c r="V1049" s="31">
        <v>0</v>
      </c>
      <c r="W1049" s="31">
        <v>0</v>
      </c>
      <c r="X1049" s="31">
        <v>0</v>
      </c>
      <c r="Y1049" s="31">
        <v>0</v>
      </c>
      <c r="Z1049" s="31">
        <v>0</v>
      </c>
      <c r="AA1049" s="31">
        <v>0</v>
      </c>
      <c r="AB1049" s="31">
        <v>0</v>
      </c>
      <c r="AC1049" s="31">
        <v>0</v>
      </c>
      <c r="AD1049" s="31">
        <v>0</v>
      </c>
      <c r="AE1049" s="31">
        <v>0</v>
      </c>
      <c r="AF1049" s="34" t="s">
        <v>274</v>
      </c>
      <c r="AG1049" s="34">
        <v>2022</v>
      </c>
      <c r="AH1049" s="35" t="s">
        <v>274</v>
      </c>
      <c r="AT1049" s="20" t="e">
        <f t="shared" si="220"/>
        <v>#N/A</v>
      </c>
      <c r="BZ1049" s="71"/>
    </row>
    <row r="1050" spans="1:78" ht="61.5" x14ac:dyDescent="0.85">
      <c r="B1050" s="24" t="s">
        <v>806</v>
      </c>
      <c r="C1050" s="24"/>
      <c r="D1050" s="31">
        <f>SUM(D1051:D1061)</f>
        <v>46315599.309999995</v>
      </c>
      <c r="E1050" s="31">
        <f t="shared" ref="E1050:AE1050" si="223">SUM(E1051:E1061)</f>
        <v>0</v>
      </c>
      <c r="F1050" s="31">
        <f t="shared" si="223"/>
        <v>0</v>
      </c>
      <c r="G1050" s="31">
        <f t="shared" si="223"/>
        <v>0</v>
      </c>
      <c r="H1050" s="31">
        <f t="shared" si="223"/>
        <v>0</v>
      </c>
      <c r="I1050" s="31">
        <f t="shared" si="223"/>
        <v>0</v>
      </c>
      <c r="J1050" s="31">
        <f t="shared" si="223"/>
        <v>0</v>
      </c>
      <c r="K1050" s="33">
        <f t="shared" si="223"/>
        <v>4</v>
      </c>
      <c r="L1050" s="31">
        <f t="shared" si="223"/>
        <v>8452796.0600000005</v>
      </c>
      <c r="M1050" s="31">
        <f t="shared" si="223"/>
        <v>6707.5</v>
      </c>
      <c r="N1050" s="31">
        <f t="shared" si="223"/>
        <v>31477236.52</v>
      </c>
      <c r="O1050" s="31">
        <f t="shared" si="223"/>
        <v>0</v>
      </c>
      <c r="P1050" s="31">
        <f t="shared" si="223"/>
        <v>0</v>
      </c>
      <c r="Q1050" s="31">
        <f t="shared" si="223"/>
        <v>986</v>
      </c>
      <c r="R1050" s="31">
        <f t="shared" si="223"/>
        <v>5826017.9100000001</v>
      </c>
      <c r="S1050" s="31">
        <f t="shared" si="223"/>
        <v>0</v>
      </c>
      <c r="T1050" s="31">
        <f t="shared" si="223"/>
        <v>0</v>
      </c>
      <c r="U1050" s="31">
        <f t="shared" si="223"/>
        <v>0</v>
      </c>
      <c r="V1050" s="31">
        <f t="shared" si="223"/>
        <v>0</v>
      </c>
      <c r="W1050" s="31">
        <f t="shared" si="223"/>
        <v>0</v>
      </c>
      <c r="X1050" s="31">
        <f t="shared" si="223"/>
        <v>0</v>
      </c>
      <c r="Y1050" s="31">
        <f t="shared" si="223"/>
        <v>0</v>
      </c>
      <c r="Z1050" s="31">
        <f t="shared" si="223"/>
        <v>0</v>
      </c>
      <c r="AA1050" s="31">
        <f t="shared" si="223"/>
        <v>0</v>
      </c>
      <c r="AB1050" s="31">
        <f t="shared" si="223"/>
        <v>0</v>
      </c>
      <c r="AC1050" s="31">
        <f t="shared" si="223"/>
        <v>559548.82000000007</v>
      </c>
      <c r="AD1050" s="31">
        <f t="shared" si="223"/>
        <v>0</v>
      </c>
      <c r="AE1050" s="31">
        <f t="shared" si="223"/>
        <v>0</v>
      </c>
      <c r="AF1050" s="34" t="s">
        <v>776</v>
      </c>
      <c r="AG1050" s="34" t="s">
        <v>776</v>
      </c>
      <c r="AH1050" s="35" t="s">
        <v>776</v>
      </c>
      <c r="AT1050" s="20" t="e">
        <f t="shared" si="220"/>
        <v>#N/A</v>
      </c>
      <c r="BZ1050" s="71">
        <v>46315599.309999995</v>
      </c>
    </row>
    <row r="1051" spans="1:78" ht="61.5" x14ac:dyDescent="0.85">
      <c r="A1051" s="20">
        <v>1</v>
      </c>
      <c r="B1051" s="66">
        <f>SUBTOTAL(103,$A$948:A1051)</f>
        <v>101</v>
      </c>
      <c r="C1051" s="24" t="s">
        <v>807</v>
      </c>
      <c r="D1051" s="31">
        <f t="shared" ref="D1051:D1061" si="224">E1051+F1051+G1051+H1051+I1051+J1051+L1051+N1051+P1051+R1051+T1051+U1051+V1051+W1051+X1051+Y1051+Z1051+AA1051+AB1051+AC1051+AD1051+AE1051</f>
        <v>2532230.7999999998</v>
      </c>
      <c r="E1051" s="31">
        <v>0</v>
      </c>
      <c r="F1051" s="31">
        <v>0</v>
      </c>
      <c r="G1051" s="31">
        <v>0</v>
      </c>
      <c r="H1051" s="31">
        <v>0</v>
      </c>
      <c r="I1051" s="31">
        <v>0</v>
      </c>
      <c r="J1051" s="31">
        <v>0</v>
      </c>
      <c r="K1051" s="33">
        <v>0</v>
      </c>
      <c r="L1051" s="31">
        <v>0</v>
      </c>
      <c r="M1051" s="31">
        <v>506</v>
      </c>
      <c r="N1051" s="31">
        <v>2494808.67</v>
      </c>
      <c r="O1051" s="31">
        <v>0</v>
      </c>
      <c r="P1051" s="31">
        <v>0</v>
      </c>
      <c r="Q1051" s="31">
        <v>0</v>
      </c>
      <c r="R1051" s="31">
        <v>0</v>
      </c>
      <c r="S1051" s="31">
        <v>0</v>
      </c>
      <c r="T1051" s="31">
        <v>0</v>
      </c>
      <c r="U1051" s="31">
        <v>0</v>
      </c>
      <c r="V1051" s="31">
        <v>0</v>
      </c>
      <c r="W1051" s="31">
        <v>0</v>
      </c>
      <c r="X1051" s="31">
        <v>0</v>
      </c>
      <c r="Y1051" s="31">
        <v>0</v>
      </c>
      <c r="Z1051" s="31">
        <v>0</v>
      </c>
      <c r="AA1051" s="31">
        <v>0</v>
      </c>
      <c r="AB1051" s="31">
        <v>0</v>
      </c>
      <c r="AC1051" s="31">
        <f>ROUND(N1051*1.5%,2)</f>
        <v>37422.129999999997</v>
      </c>
      <c r="AD1051" s="31">
        <v>0</v>
      </c>
      <c r="AE1051" s="31">
        <v>0</v>
      </c>
      <c r="AF1051" s="34" t="s">
        <v>274</v>
      </c>
      <c r="AG1051" s="34">
        <v>2022</v>
      </c>
      <c r="AH1051" s="35">
        <v>2022</v>
      </c>
      <c r="AT1051" s="20" t="e">
        <f t="shared" si="220"/>
        <v>#N/A</v>
      </c>
      <c r="BZ1051" s="71"/>
    </row>
    <row r="1052" spans="1:78" ht="61.5" x14ac:dyDescent="0.85">
      <c r="A1052" s="20">
        <v>1</v>
      </c>
      <c r="B1052" s="66">
        <f>SUBTOTAL(103,$A$948:A1052)</f>
        <v>102</v>
      </c>
      <c r="C1052" s="24" t="s">
        <v>808</v>
      </c>
      <c r="D1052" s="31">
        <f t="shared" si="224"/>
        <v>2386020.4</v>
      </c>
      <c r="E1052" s="31">
        <v>0</v>
      </c>
      <c r="F1052" s="31">
        <v>0</v>
      </c>
      <c r="G1052" s="31">
        <v>0</v>
      </c>
      <c r="H1052" s="31">
        <v>0</v>
      </c>
      <c r="I1052" s="31">
        <v>0</v>
      </c>
      <c r="J1052" s="31">
        <v>0</v>
      </c>
      <c r="K1052" s="33">
        <v>0</v>
      </c>
      <c r="L1052" s="31">
        <v>0</v>
      </c>
      <c r="M1052" s="31">
        <v>478</v>
      </c>
      <c r="N1052" s="31">
        <v>2350759.0099999998</v>
      </c>
      <c r="O1052" s="31">
        <v>0</v>
      </c>
      <c r="P1052" s="31">
        <v>0</v>
      </c>
      <c r="Q1052" s="31">
        <v>0</v>
      </c>
      <c r="R1052" s="31">
        <v>0</v>
      </c>
      <c r="S1052" s="31">
        <v>0</v>
      </c>
      <c r="T1052" s="31">
        <v>0</v>
      </c>
      <c r="U1052" s="31">
        <v>0</v>
      </c>
      <c r="V1052" s="31">
        <v>0</v>
      </c>
      <c r="W1052" s="31">
        <v>0</v>
      </c>
      <c r="X1052" s="31">
        <v>0</v>
      </c>
      <c r="Y1052" s="31">
        <v>0</v>
      </c>
      <c r="Z1052" s="31">
        <v>0</v>
      </c>
      <c r="AA1052" s="31">
        <v>0</v>
      </c>
      <c r="AB1052" s="31">
        <v>0</v>
      </c>
      <c r="AC1052" s="31">
        <f>ROUND(N1052*1.5%,2)</f>
        <v>35261.39</v>
      </c>
      <c r="AD1052" s="31">
        <v>0</v>
      </c>
      <c r="AE1052" s="31">
        <v>0</v>
      </c>
      <c r="AF1052" s="34" t="s">
        <v>274</v>
      </c>
      <c r="AG1052" s="34">
        <v>2022</v>
      </c>
      <c r="AH1052" s="35">
        <v>2022</v>
      </c>
      <c r="AT1052" s="20" t="e">
        <f t="shared" si="220"/>
        <v>#N/A</v>
      </c>
      <c r="BZ1052" s="71"/>
    </row>
    <row r="1053" spans="1:78" ht="61.5" x14ac:dyDescent="0.85">
      <c r="A1053" s="20">
        <v>1</v>
      </c>
      <c r="B1053" s="66">
        <f>SUBTOTAL(103,$A$948:A1053)</f>
        <v>103</v>
      </c>
      <c r="C1053" s="24" t="s">
        <v>1106</v>
      </c>
      <c r="D1053" s="31">
        <f t="shared" si="224"/>
        <v>3009600</v>
      </c>
      <c r="E1053" s="31">
        <v>0</v>
      </c>
      <c r="F1053" s="31">
        <v>0</v>
      </c>
      <c r="G1053" s="31">
        <v>0</v>
      </c>
      <c r="H1053" s="31">
        <v>0</v>
      </c>
      <c r="I1053" s="31">
        <v>0</v>
      </c>
      <c r="J1053" s="31">
        <v>0</v>
      </c>
      <c r="K1053" s="33">
        <v>0</v>
      </c>
      <c r="L1053" s="31">
        <v>0</v>
      </c>
      <c r="M1053" s="31">
        <v>627</v>
      </c>
      <c r="N1053" s="31">
        <v>2965123.15</v>
      </c>
      <c r="O1053" s="31">
        <v>0</v>
      </c>
      <c r="P1053" s="31">
        <v>0</v>
      </c>
      <c r="Q1053" s="31">
        <v>0</v>
      </c>
      <c r="R1053" s="31">
        <v>0</v>
      </c>
      <c r="S1053" s="31">
        <v>0</v>
      </c>
      <c r="T1053" s="31">
        <v>0</v>
      </c>
      <c r="U1053" s="31">
        <v>0</v>
      </c>
      <c r="V1053" s="31">
        <v>0</v>
      </c>
      <c r="W1053" s="31">
        <v>0</v>
      </c>
      <c r="X1053" s="31">
        <v>0</v>
      </c>
      <c r="Y1053" s="31">
        <v>0</v>
      </c>
      <c r="Z1053" s="31">
        <v>0</v>
      </c>
      <c r="AA1053" s="31">
        <v>0</v>
      </c>
      <c r="AB1053" s="31">
        <v>0</v>
      </c>
      <c r="AC1053" s="31">
        <f>ROUND(N1053*1.5%,2)</f>
        <v>44476.85</v>
      </c>
      <c r="AD1053" s="31">
        <v>0</v>
      </c>
      <c r="AE1053" s="31">
        <v>0</v>
      </c>
      <c r="AF1053" s="34" t="s">
        <v>274</v>
      </c>
      <c r="AG1053" s="34">
        <v>2022</v>
      </c>
      <c r="AH1053" s="35">
        <v>2022</v>
      </c>
      <c r="AT1053" s="20" t="e">
        <f t="shared" si="220"/>
        <v>#N/A</v>
      </c>
      <c r="BZ1053" s="71"/>
    </row>
    <row r="1054" spans="1:78" ht="61.5" x14ac:dyDescent="0.85">
      <c r="A1054" s="20">
        <v>1</v>
      </c>
      <c r="B1054" s="66">
        <f>SUBTOTAL(103,$A$948:A1054)</f>
        <v>104</v>
      </c>
      <c r="C1054" s="24" t="s">
        <v>810</v>
      </c>
      <c r="D1054" s="31">
        <f t="shared" si="224"/>
        <v>8452796.0600000005</v>
      </c>
      <c r="E1054" s="31">
        <v>0</v>
      </c>
      <c r="F1054" s="31">
        <v>0</v>
      </c>
      <c r="G1054" s="31">
        <v>0</v>
      </c>
      <c r="H1054" s="31">
        <v>0</v>
      </c>
      <c r="I1054" s="31">
        <v>0</v>
      </c>
      <c r="J1054" s="31">
        <v>0</v>
      </c>
      <c r="K1054" s="33">
        <v>4</v>
      </c>
      <c r="L1054" s="31">
        <v>8452796.0600000005</v>
      </c>
      <c r="M1054" s="31">
        <v>0</v>
      </c>
      <c r="N1054" s="31">
        <v>0</v>
      </c>
      <c r="O1054" s="31">
        <v>0</v>
      </c>
      <c r="P1054" s="31">
        <v>0</v>
      </c>
      <c r="Q1054" s="31">
        <v>0</v>
      </c>
      <c r="R1054" s="31">
        <v>0</v>
      </c>
      <c r="S1054" s="31">
        <v>0</v>
      </c>
      <c r="T1054" s="31">
        <v>0</v>
      </c>
      <c r="U1054" s="31">
        <v>0</v>
      </c>
      <c r="V1054" s="31">
        <v>0</v>
      </c>
      <c r="W1054" s="31">
        <v>0</v>
      </c>
      <c r="X1054" s="31">
        <v>0</v>
      </c>
      <c r="Y1054" s="31">
        <v>0</v>
      </c>
      <c r="Z1054" s="31">
        <v>0</v>
      </c>
      <c r="AA1054" s="31">
        <v>0</v>
      </c>
      <c r="AB1054" s="31">
        <v>0</v>
      </c>
      <c r="AC1054" s="31">
        <v>0</v>
      </c>
      <c r="AD1054" s="31">
        <v>0</v>
      </c>
      <c r="AE1054" s="31">
        <v>0</v>
      </c>
      <c r="AF1054" s="34" t="s">
        <v>274</v>
      </c>
      <c r="AG1054" s="34">
        <v>2022</v>
      </c>
      <c r="AH1054" s="35" t="s">
        <v>274</v>
      </c>
      <c r="AT1054" s="20" t="e">
        <f t="shared" si="220"/>
        <v>#N/A</v>
      </c>
      <c r="BZ1054" s="71"/>
    </row>
    <row r="1055" spans="1:78" ht="61.5" x14ac:dyDescent="0.85">
      <c r="A1055" s="20">
        <v>1</v>
      </c>
      <c r="B1055" s="66">
        <f>SUBTOTAL(103,$A$948:A1055)</f>
        <v>105</v>
      </c>
      <c r="C1055" s="24" t="s">
        <v>812</v>
      </c>
      <c r="D1055" s="31">
        <f t="shared" si="224"/>
        <v>6961648</v>
      </c>
      <c r="E1055" s="31">
        <v>0</v>
      </c>
      <c r="F1055" s="31">
        <v>0</v>
      </c>
      <c r="G1055" s="31">
        <v>0</v>
      </c>
      <c r="H1055" s="31">
        <v>0</v>
      </c>
      <c r="I1055" s="31">
        <v>0</v>
      </c>
      <c r="J1055" s="31">
        <v>0</v>
      </c>
      <c r="K1055" s="33">
        <v>0</v>
      </c>
      <c r="L1055" s="31">
        <v>0</v>
      </c>
      <c r="M1055" s="31">
        <v>1360</v>
      </c>
      <c r="N1055" s="31">
        <v>6858766.5</v>
      </c>
      <c r="O1055" s="31">
        <v>0</v>
      </c>
      <c r="P1055" s="31">
        <v>0</v>
      </c>
      <c r="Q1055" s="31">
        <v>0</v>
      </c>
      <c r="R1055" s="31">
        <v>0</v>
      </c>
      <c r="S1055" s="31">
        <v>0</v>
      </c>
      <c r="T1055" s="31">
        <v>0</v>
      </c>
      <c r="U1055" s="31">
        <v>0</v>
      </c>
      <c r="V1055" s="31">
        <v>0</v>
      </c>
      <c r="W1055" s="31">
        <v>0</v>
      </c>
      <c r="X1055" s="31">
        <v>0</v>
      </c>
      <c r="Y1055" s="31">
        <v>0</v>
      </c>
      <c r="Z1055" s="31">
        <v>0</v>
      </c>
      <c r="AA1055" s="31">
        <v>0</v>
      </c>
      <c r="AB1055" s="31">
        <v>0</v>
      </c>
      <c r="AC1055" s="31">
        <f>ROUND(N1055*1.5%,2)</f>
        <v>102881.5</v>
      </c>
      <c r="AD1055" s="31">
        <v>0</v>
      </c>
      <c r="AE1055" s="31">
        <v>0</v>
      </c>
      <c r="AF1055" s="34" t="s">
        <v>274</v>
      </c>
      <c r="AG1055" s="34">
        <v>2022</v>
      </c>
      <c r="AH1055" s="35">
        <v>2022</v>
      </c>
      <c r="AT1055" s="20">
        <f t="shared" si="220"/>
        <v>1</v>
      </c>
      <c r="BZ1055" s="71"/>
    </row>
    <row r="1056" spans="1:78" ht="61.5" x14ac:dyDescent="0.85">
      <c r="A1056" s="20">
        <v>1</v>
      </c>
      <c r="B1056" s="66">
        <f>SUBTOTAL(103,$A$948:A1056)</f>
        <v>106</v>
      </c>
      <c r="C1056" s="24" t="s">
        <v>813</v>
      </c>
      <c r="D1056" s="31">
        <f t="shared" si="224"/>
        <v>3278948.1999999997</v>
      </c>
      <c r="E1056" s="31">
        <v>0</v>
      </c>
      <c r="F1056" s="31">
        <v>0</v>
      </c>
      <c r="G1056" s="31">
        <v>0</v>
      </c>
      <c r="H1056" s="31">
        <v>0</v>
      </c>
      <c r="I1056" s="31">
        <v>0</v>
      </c>
      <c r="J1056" s="31">
        <v>0</v>
      </c>
      <c r="K1056" s="33">
        <v>0</v>
      </c>
      <c r="L1056" s="31">
        <v>0</v>
      </c>
      <c r="M1056" s="31">
        <v>649</v>
      </c>
      <c r="N1056" s="31">
        <v>3230490.84</v>
      </c>
      <c r="O1056" s="31">
        <v>0</v>
      </c>
      <c r="P1056" s="31">
        <v>0</v>
      </c>
      <c r="Q1056" s="31">
        <v>0</v>
      </c>
      <c r="R1056" s="31">
        <v>0</v>
      </c>
      <c r="S1056" s="31">
        <v>0</v>
      </c>
      <c r="T1056" s="31">
        <v>0</v>
      </c>
      <c r="U1056" s="31">
        <v>0</v>
      </c>
      <c r="V1056" s="31">
        <v>0</v>
      </c>
      <c r="W1056" s="31">
        <v>0</v>
      </c>
      <c r="X1056" s="31">
        <v>0</v>
      </c>
      <c r="Y1056" s="31">
        <v>0</v>
      </c>
      <c r="Z1056" s="31">
        <v>0</v>
      </c>
      <c r="AA1056" s="31">
        <v>0</v>
      </c>
      <c r="AB1056" s="31">
        <v>0</v>
      </c>
      <c r="AC1056" s="31">
        <f>ROUND(N1056*1.5%,2)</f>
        <v>48457.36</v>
      </c>
      <c r="AD1056" s="31">
        <v>0</v>
      </c>
      <c r="AE1056" s="31">
        <v>0</v>
      </c>
      <c r="AF1056" s="34" t="s">
        <v>274</v>
      </c>
      <c r="AG1056" s="34">
        <v>2022</v>
      </c>
      <c r="AH1056" s="35">
        <v>2022</v>
      </c>
      <c r="AT1056" s="20" t="e">
        <f t="shared" si="220"/>
        <v>#N/A</v>
      </c>
      <c r="BZ1056" s="71"/>
    </row>
    <row r="1057" spans="1:78" ht="61.5" x14ac:dyDescent="0.85">
      <c r="A1057" s="20">
        <v>1</v>
      </c>
      <c r="B1057" s="66">
        <f>SUBTOTAL(103,$A$948:A1057)</f>
        <v>107</v>
      </c>
      <c r="C1057" s="24" t="s">
        <v>814</v>
      </c>
      <c r="D1057" s="31">
        <f t="shared" si="224"/>
        <v>3336388</v>
      </c>
      <c r="E1057" s="31">
        <v>0</v>
      </c>
      <c r="F1057" s="31">
        <v>0</v>
      </c>
      <c r="G1057" s="31">
        <v>0</v>
      </c>
      <c r="H1057" s="31">
        <v>0</v>
      </c>
      <c r="I1057" s="31">
        <v>0</v>
      </c>
      <c r="J1057" s="31">
        <v>0</v>
      </c>
      <c r="K1057" s="33">
        <v>0</v>
      </c>
      <c r="L1057" s="31">
        <v>0</v>
      </c>
      <c r="M1057" s="31">
        <v>660</v>
      </c>
      <c r="N1057" s="31">
        <v>3287081.77</v>
      </c>
      <c r="O1057" s="31">
        <v>0</v>
      </c>
      <c r="P1057" s="31">
        <v>0</v>
      </c>
      <c r="Q1057" s="31">
        <v>0</v>
      </c>
      <c r="R1057" s="31">
        <v>0</v>
      </c>
      <c r="S1057" s="31">
        <v>0</v>
      </c>
      <c r="T1057" s="31">
        <v>0</v>
      </c>
      <c r="U1057" s="31">
        <v>0</v>
      </c>
      <c r="V1057" s="31">
        <v>0</v>
      </c>
      <c r="W1057" s="31">
        <v>0</v>
      </c>
      <c r="X1057" s="31">
        <v>0</v>
      </c>
      <c r="Y1057" s="31">
        <v>0</v>
      </c>
      <c r="Z1057" s="31">
        <v>0</v>
      </c>
      <c r="AA1057" s="31">
        <v>0</v>
      </c>
      <c r="AB1057" s="31">
        <v>0</v>
      </c>
      <c r="AC1057" s="31">
        <f>ROUND(N1057*1.5%,2)</f>
        <v>49306.23</v>
      </c>
      <c r="AD1057" s="31">
        <v>0</v>
      </c>
      <c r="AE1057" s="31">
        <v>0</v>
      </c>
      <c r="AF1057" s="34" t="s">
        <v>274</v>
      </c>
      <c r="AG1057" s="34">
        <v>2022</v>
      </c>
      <c r="AH1057" s="35">
        <v>2022</v>
      </c>
      <c r="AT1057" s="20" t="e">
        <f t="shared" si="220"/>
        <v>#N/A</v>
      </c>
      <c r="BZ1057" s="71"/>
    </row>
    <row r="1058" spans="1:78" ht="61.5" x14ac:dyDescent="0.85">
      <c r="A1058" s="20">
        <v>1</v>
      </c>
      <c r="B1058" s="66">
        <f>SUBTOTAL(103,$A$948:A1058)</f>
        <v>108</v>
      </c>
      <c r="C1058" s="24" t="s">
        <v>815</v>
      </c>
      <c r="D1058" s="31">
        <f t="shared" si="224"/>
        <v>4001516.58</v>
      </c>
      <c r="E1058" s="31">
        <v>0</v>
      </c>
      <c r="F1058" s="31">
        <v>0</v>
      </c>
      <c r="G1058" s="31">
        <v>0</v>
      </c>
      <c r="H1058" s="31">
        <v>0</v>
      </c>
      <c r="I1058" s="31">
        <v>0</v>
      </c>
      <c r="J1058" s="31">
        <v>0</v>
      </c>
      <c r="K1058" s="33">
        <v>0</v>
      </c>
      <c r="L1058" s="31">
        <v>0</v>
      </c>
      <c r="M1058" s="31">
        <v>0</v>
      </c>
      <c r="N1058" s="31">
        <v>0</v>
      </c>
      <c r="O1058" s="31">
        <v>0</v>
      </c>
      <c r="P1058" s="31">
        <v>0</v>
      </c>
      <c r="Q1058" s="31">
        <v>626</v>
      </c>
      <c r="R1058" s="31">
        <f>4052571.21-110190.34</f>
        <v>3942380.87</v>
      </c>
      <c r="S1058" s="31">
        <v>0</v>
      </c>
      <c r="T1058" s="31">
        <v>0</v>
      </c>
      <c r="U1058" s="31">
        <v>0</v>
      </c>
      <c r="V1058" s="31">
        <v>0</v>
      </c>
      <c r="W1058" s="31">
        <v>0</v>
      </c>
      <c r="X1058" s="31">
        <v>0</v>
      </c>
      <c r="Y1058" s="31">
        <v>0</v>
      </c>
      <c r="Z1058" s="31">
        <v>0</v>
      </c>
      <c r="AA1058" s="31">
        <v>0</v>
      </c>
      <c r="AB1058" s="31">
        <v>0</v>
      </c>
      <c r="AC1058" s="31">
        <f>ROUND(R1058*1.5%,2)</f>
        <v>59135.71</v>
      </c>
      <c r="AD1058" s="31">
        <v>0</v>
      </c>
      <c r="AE1058" s="31">
        <v>0</v>
      </c>
      <c r="AF1058" s="34" t="s">
        <v>274</v>
      </c>
      <c r="AG1058" s="34">
        <v>2022</v>
      </c>
      <c r="AH1058" s="35">
        <v>2022</v>
      </c>
      <c r="AT1058" s="20" t="e">
        <f t="shared" si="220"/>
        <v>#N/A</v>
      </c>
      <c r="BZ1058" s="71"/>
    </row>
    <row r="1059" spans="1:78" ht="61.5" x14ac:dyDescent="0.85">
      <c r="A1059" s="20">
        <v>1</v>
      </c>
      <c r="B1059" s="66">
        <f>SUBTOTAL(103,$A$948:A1059)</f>
        <v>109</v>
      </c>
      <c r="C1059" s="24" t="s">
        <v>816</v>
      </c>
      <c r="D1059" s="31">
        <f t="shared" si="224"/>
        <v>8460275.6699999981</v>
      </c>
      <c r="E1059" s="31">
        <v>0</v>
      </c>
      <c r="F1059" s="31">
        <v>0</v>
      </c>
      <c r="G1059" s="31">
        <v>0</v>
      </c>
      <c r="H1059" s="31">
        <v>0</v>
      </c>
      <c r="I1059" s="31">
        <v>0</v>
      </c>
      <c r="J1059" s="31">
        <v>0</v>
      </c>
      <c r="K1059" s="33">
        <v>0</v>
      </c>
      <c r="L1059" s="31">
        <v>0</v>
      </c>
      <c r="M1059" s="31">
        <v>2047.5</v>
      </c>
      <c r="N1059" s="31">
        <f>10533631.03-3411405.54+1213021.48</f>
        <v>8335246.9699999988</v>
      </c>
      <c r="O1059" s="31">
        <v>0</v>
      </c>
      <c r="P1059" s="31">
        <v>0</v>
      </c>
      <c r="Q1059" s="31">
        <v>0</v>
      </c>
      <c r="R1059" s="31">
        <v>0</v>
      </c>
      <c r="S1059" s="31">
        <v>0</v>
      </c>
      <c r="T1059" s="31">
        <v>0</v>
      </c>
      <c r="U1059" s="31">
        <v>0</v>
      </c>
      <c r="V1059" s="31">
        <v>0</v>
      </c>
      <c r="W1059" s="31">
        <v>0</v>
      </c>
      <c r="X1059" s="31">
        <v>0</v>
      </c>
      <c r="Y1059" s="31">
        <v>0</v>
      </c>
      <c r="Z1059" s="31">
        <v>0</v>
      </c>
      <c r="AA1059" s="31">
        <v>0</v>
      </c>
      <c r="AB1059" s="31">
        <v>0</v>
      </c>
      <c r="AC1059" s="31">
        <f>ROUND(N1059*1.5%,2)</f>
        <v>125028.7</v>
      </c>
      <c r="AD1059" s="31">
        <v>0</v>
      </c>
      <c r="AE1059" s="31">
        <v>0</v>
      </c>
      <c r="AF1059" s="34" t="s">
        <v>274</v>
      </c>
      <c r="AG1059" s="34">
        <v>2022</v>
      </c>
      <c r="AH1059" s="35">
        <v>2022</v>
      </c>
      <c r="AT1059" s="20" t="e">
        <f t="shared" si="220"/>
        <v>#N/A</v>
      </c>
      <c r="BZ1059" s="71"/>
    </row>
    <row r="1060" spans="1:78" ht="61.5" x14ac:dyDescent="0.85">
      <c r="A1060" s="20">
        <v>1</v>
      </c>
      <c r="B1060" s="66">
        <f>SUBTOTAL(103,$A$948:A1060)</f>
        <v>110</v>
      </c>
      <c r="C1060" s="24" t="s">
        <v>838</v>
      </c>
      <c r="D1060" s="31">
        <f t="shared" si="224"/>
        <v>1911891.6</v>
      </c>
      <c r="E1060" s="31">
        <v>0</v>
      </c>
      <c r="F1060" s="31">
        <v>0</v>
      </c>
      <c r="G1060" s="31">
        <v>0</v>
      </c>
      <c r="H1060" s="31">
        <v>0</v>
      </c>
      <c r="I1060" s="31">
        <v>0</v>
      </c>
      <c r="J1060" s="31">
        <v>0</v>
      </c>
      <c r="K1060" s="33">
        <v>0</v>
      </c>
      <c r="L1060" s="31">
        <v>0</v>
      </c>
      <c r="M1060" s="31">
        <v>0</v>
      </c>
      <c r="N1060" s="31">
        <v>0</v>
      </c>
      <c r="O1060" s="31">
        <v>0</v>
      </c>
      <c r="P1060" s="31">
        <v>0</v>
      </c>
      <c r="Q1060" s="31">
        <v>360</v>
      </c>
      <c r="R1060" s="31">
        <v>1883637.04</v>
      </c>
      <c r="S1060" s="31">
        <v>0</v>
      </c>
      <c r="T1060" s="31">
        <v>0</v>
      </c>
      <c r="U1060" s="31">
        <v>0</v>
      </c>
      <c r="V1060" s="31">
        <v>0</v>
      </c>
      <c r="W1060" s="31">
        <v>0</v>
      </c>
      <c r="X1060" s="31">
        <v>0</v>
      </c>
      <c r="Y1060" s="31">
        <v>0</v>
      </c>
      <c r="Z1060" s="31">
        <v>0</v>
      </c>
      <c r="AA1060" s="31">
        <v>0</v>
      </c>
      <c r="AB1060" s="31">
        <v>0</v>
      </c>
      <c r="AC1060" s="31">
        <f>ROUND(R1060*1.5%,2)</f>
        <v>28254.560000000001</v>
      </c>
      <c r="AD1060" s="31">
        <v>0</v>
      </c>
      <c r="AE1060" s="31">
        <v>0</v>
      </c>
      <c r="AF1060" s="34" t="s">
        <v>274</v>
      </c>
      <c r="AG1060" s="34">
        <v>2022</v>
      </c>
      <c r="AH1060" s="35">
        <v>2022</v>
      </c>
      <c r="AT1060" s="20">
        <f t="shared" si="220"/>
        <v>1</v>
      </c>
      <c r="BZ1060" s="71"/>
    </row>
    <row r="1061" spans="1:78" ht="61.5" x14ac:dyDescent="0.85">
      <c r="A1061" s="20">
        <v>1</v>
      </c>
      <c r="B1061" s="66">
        <f>SUBTOTAL(103,$A$948:A1061)</f>
        <v>111</v>
      </c>
      <c r="C1061" s="24" t="s">
        <v>1655</v>
      </c>
      <c r="D1061" s="31">
        <f t="shared" si="224"/>
        <v>1984284</v>
      </c>
      <c r="E1061" s="31">
        <v>0</v>
      </c>
      <c r="F1061" s="31">
        <v>0</v>
      </c>
      <c r="G1061" s="31">
        <v>0</v>
      </c>
      <c r="H1061" s="31">
        <v>0</v>
      </c>
      <c r="I1061" s="31">
        <v>0</v>
      </c>
      <c r="J1061" s="31">
        <v>0</v>
      </c>
      <c r="K1061" s="33">
        <v>0</v>
      </c>
      <c r="L1061" s="31">
        <v>0</v>
      </c>
      <c r="M1061" s="31">
        <v>380</v>
      </c>
      <c r="N1061" s="31">
        <v>1954959.61</v>
      </c>
      <c r="O1061" s="31">
        <v>0</v>
      </c>
      <c r="P1061" s="31">
        <v>0</v>
      </c>
      <c r="Q1061" s="31">
        <v>0</v>
      </c>
      <c r="R1061" s="31">
        <v>0</v>
      </c>
      <c r="S1061" s="31">
        <v>0</v>
      </c>
      <c r="T1061" s="31">
        <v>0</v>
      </c>
      <c r="U1061" s="31">
        <v>0</v>
      </c>
      <c r="V1061" s="31">
        <v>0</v>
      </c>
      <c r="W1061" s="31">
        <v>0</v>
      </c>
      <c r="X1061" s="31">
        <v>0</v>
      </c>
      <c r="Y1061" s="31">
        <v>0</v>
      </c>
      <c r="Z1061" s="31">
        <v>0</v>
      </c>
      <c r="AA1061" s="31">
        <v>0</v>
      </c>
      <c r="AB1061" s="31">
        <v>0</v>
      </c>
      <c r="AC1061" s="31">
        <f>ROUND(N1061*1.5%,2)</f>
        <v>29324.39</v>
      </c>
      <c r="AD1061" s="31">
        <v>0</v>
      </c>
      <c r="AE1061" s="31">
        <v>0</v>
      </c>
      <c r="AF1061" s="34" t="s">
        <v>274</v>
      </c>
      <c r="AG1061" s="34">
        <v>2022</v>
      </c>
      <c r="AH1061" s="35">
        <v>2022</v>
      </c>
      <c r="BZ1061" s="71"/>
    </row>
    <row r="1062" spans="1:78" ht="61.5" x14ac:dyDescent="0.85">
      <c r="B1062" s="24" t="s">
        <v>783</v>
      </c>
      <c r="C1062" s="166"/>
      <c r="D1062" s="31">
        <f>SUM(D1063:D1064)</f>
        <v>21856214.649999999</v>
      </c>
      <c r="E1062" s="31">
        <f t="shared" ref="E1062:AE1062" si="225">SUM(E1063:E1064)</f>
        <v>564251.4</v>
      </c>
      <c r="F1062" s="31">
        <f t="shared" si="225"/>
        <v>1368969.5</v>
      </c>
      <c r="G1062" s="31">
        <f t="shared" si="225"/>
        <v>1773880.4000000001</v>
      </c>
      <c r="H1062" s="31">
        <f t="shared" si="225"/>
        <v>1005360.8</v>
      </c>
      <c r="I1062" s="31">
        <f t="shared" si="225"/>
        <v>2430648.5</v>
      </c>
      <c r="J1062" s="31">
        <f t="shared" si="225"/>
        <v>0</v>
      </c>
      <c r="K1062" s="33">
        <f t="shared" si="225"/>
        <v>0</v>
      </c>
      <c r="L1062" s="31">
        <f t="shared" si="225"/>
        <v>0</v>
      </c>
      <c r="M1062" s="31">
        <f t="shared" si="225"/>
        <v>0</v>
      </c>
      <c r="N1062" s="31">
        <f t="shared" si="225"/>
        <v>0</v>
      </c>
      <c r="O1062" s="31">
        <f t="shared" si="225"/>
        <v>0</v>
      </c>
      <c r="P1062" s="31">
        <f t="shared" si="225"/>
        <v>0</v>
      </c>
      <c r="Q1062" s="31">
        <f t="shared" si="225"/>
        <v>7025.9</v>
      </c>
      <c r="R1062" s="31">
        <f t="shared" si="225"/>
        <v>13897494.970000001</v>
      </c>
      <c r="S1062" s="31">
        <f t="shared" si="225"/>
        <v>0</v>
      </c>
      <c r="T1062" s="31">
        <f t="shared" si="225"/>
        <v>0</v>
      </c>
      <c r="U1062" s="31">
        <f t="shared" si="225"/>
        <v>0</v>
      </c>
      <c r="V1062" s="31">
        <f t="shared" si="225"/>
        <v>0</v>
      </c>
      <c r="W1062" s="31">
        <f t="shared" si="225"/>
        <v>0</v>
      </c>
      <c r="X1062" s="31">
        <f t="shared" si="225"/>
        <v>0</v>
      </c>
      <c r="Y1062" s="31">
        <f t="shared" si="225"/>
        <v>0</v>
      </c>
      <c r="Z1062" s="31">
        <f t="shared" si="225"/>
        <v>0</v>
      </c>
      <c r="AA1062" s="31">
        <f t="shared" si="225"/>
        <v>0</v>
      </c>
      <c r="AB1062" s="31">
        <f t="shared" si="225"/>
        <v>0</v>
      </c>
      <c r="AC1062" s="31">
        <f t="shared" si="225"/>
        <v>315609.08</v>
      </c>
      <c r="AD1062" s="31">
        <f t="shared" si="225"/>
        <v>500000</v>
      </c>
      <c r="AE1062" s="31">
        <f t="shared" si="225"/>
        <v>0</v>
      </c>
      <c r="AF1062" s="72" t="s">
        <v>776</v>
      </c>
      <c r="AG1062" s="72" t="s">
        <v>776</v>
      </c>
      <c r="AH1062" s="89" t="s">
        <v>776</v>
      </c>
      <c r="AT1062" s="20" t="e">
        <f t="shared" ref="AT1062:AT1075" si="226">VLOOKUP(C1062,AW:AX,2,FALSE)</f>
        <v>#N/A</v>
      </c>
      <c r="BZ1062" s="71">
        <v>21856214.649999999</v>
      </c>
    </row>
    <row r="1063" spans="1:78" ht="61.5" x14ac:dyDescent="0.85">
      <c r="A1063" s="20">
        <v>1</v>
      </c>
      <c r="B1063" s="66">
        <f>SUBTOTAL(103,$A$948:A1063)</f>
        <v>112</v>
      </c>
      <c r="C1063" s="24" t="s">
        <v>394</v>
      </c>
      <c r="D1063" s="31">
        <f>E1063+F1063+G1063+H1063+I1063+J1063+L1063+N1063+P1063+R1063+T1063+U1063+V1063+W1063+X1063+Y1063+Z1063+AA1063+AB1063+AC1063+AD1063+AE1063</f>
        <v>7550257.2599999998</v>
      </c>
      <c r="E1063" s="31">
        <v>564251.4</v>
      </c>
      <c r="F1063" s="31">
        <v>1368969.5</v>
      </c>
      <c r="G1063" s="31">
        <v>1773880.4000000001</v>
      </c>
      <c r="H1063" s="31">
        <v>1005360.8</v>
      </c>
      <c r="I1063" s="31">
        <v>2430648.5</v>
      </c>
      <c r="J1063" s="31">
        <v>0</v>
      </c>
      <c r="K1063" s="33">
        <v>0</v>
      </c>
      <c r="L1063" s="31">
        <v>0</v>
      </c>
      <c r="M1063" s="31">
        <v>0</v>
      </c>
      <c r="N1063" s="31">
        <v>0</v>
      </c>
      <c r="O1063" s="31">
        <v>0</v>
      </c>
      <c r="P1063" s="31">
        <v>0</v>
      </c>
      <c r="Q1063" s="31">
        <v>0</v>
      </c>
      <c r="R1063" s="31">
        <v>0</v>
      </c>
      <c r="S1063" s="31">
        <v>0</v>
      </c>
      <c r="T1063" s="31">
        <v>0</v>
      </c>
      <c r="U1063" s="31">
        <v>0</v>
      </c>
      <c r="V1063" s="31">
        <v>0</v>
      </c>
      <c r="W1063" s="31">
        <v>0</v>
      </c>
      <c r="X1063" s="31">
        <v>0</v>
      </c>
      <c r="Y1063" s="31">
        <v>0</v>
      </c>
      <c r="Z1063" s="31">
        <v>0</v>
      </c>
      <c r="AA1063" s="31">
        <v>0</v>
      </c>
      <c r="AB1063" s="31">
        <v>0</v>
      </c>
      <c r="AC1063" s="31">
        <f>ROUND((E1063+F1063+G1063+H1063+I1063+J1063)*1.5%,2)</f>
        <v>107146.66</v>
      </c>
      <c r="AD1063" s="31">
        <v>300000</v>
      </c>
      <c r="AE1063" s="31">
        <v>0</v>
      </c>
      <c r="AF1063" s="34">
        <v>2022</v>
      </c>
      <c r="AG1063" s="34">
        <v>2022</v>
      </c>
      <c r="AH1063" s="35">
        <v>2022</v>
      </c>
      <c r="AT1063" s="20" t="e">
        <f t="shared" si="226"/>
        <v>#N/A</v>
      </c>
      <c r="BZ1063" s="71"/>
    </row>
    <row r="1064" spans="1:78" ht="61.5" x14ac:dyDescent="0.85">
      <c r="A1064" s="20">
        <v>1</v>
      </c>
      <c r="B1064" s="66">
        <f>SUBTOTAL(103,$A$948:A1064)</f>
        <v>113</v>
      </c>
      <c r="C1064" s="24" t="s">
        <v>395</v>
      </c>
      <c r="D1064" s="31">
        <f>E1064+F1064+G1064+H1064+I1064+J1064+L1064+N1064+P1064+R1064+T1064+U1064+V1064+W1064+X1064+Y1064+Z1064+AA1064+AB1064+AC1064+AD1064+AE1064</f>
        <v>14305957.390000001</v>
      </c>
      <c r="E1064" s="31">
        <v>0</v>
      </c>
      <c r="F1064" s="31">
        <v>0</v>
      </c>
      <c r="G1064" s="31">
        <v>0</v>
      </c>
      <c r="H1064" s="31">
        <v>0</v>
      </c>
      <c r="I1064" s="31">
        <v>0</v>
      </c>
      <c r="J1064" s="31">
        <v>0</v>
      </c>
      <c r="K1064" s="33">
        <v>0</v>
      </c>
      <c r="L1064" s="31">
        <v>0</v>
      </c>
      <c r="M1064" s="31">
        <v>0</v>
      </c>
      <c r="N1064" s="31">
        <v>0</v>
      </c>
      <c r="O1064" s="31">
        <v>0</v>
      </c>
      <c r="P1064" s="31">
        <v>0</v>
      </c>
      <c r="Q1064" s="31">
        <v>7025.9</v>
      </c>
      <c r="R1064" s="31">
        <v>13897494.970000001</v>
      </c>
      <c r="S1064" s="31">
        <v>0</v>
      </c>
      <c r="T1064" s="31">
        <v>0</v>
      </c>
      <c r="U1064" s="31">
        <v>0</v>
      </c>
      <c r="V1064" s="31">
        <v>0</v>
      </c>
      <c r="W1064" s="31">
        <v>0</v>
      </c>
      <c r="X1064" s="31">
        <v>0</v>
      </c>
      <c r="Y1064" s="31">
        <v>0</v>
      </c>
      <c r="Z1064" s="31">
        <v>0</v>
      </c>
      <c r="AA1064" s="31">
        <v>0</v>
      </c>
      <c r="AB1064" s="31">
        <v>0</v>
      </c>
      <c r="AC1064" s="31">
        <f>ROUND(R1064*1.5%,2)</f>
        <v>208462.42</v>
      </c>
      <c r="AD1064" s="31">
        <v>200000</v>
      </c>
      <c r="AE1064" s="31">
        <v>0</v>
      </c>
      <c r="AF1064" s="34">
        <v>2022</v>
      </c>
      <c r="AG1064" s="34">
        <v>2022</v>
      </c>
      <c r="AH1064" s="35">
        <v>2022</v>
      </c>
      <c r="AT1064" s="20" t="e">
        <f t="shared" si="226"/>
        <v>#N/A</v>
      </c>
      <c r="BZ1064" s="71"/>
    </row>
    <row r="1065" spans="1:78" ht="61.5" x14ac:dyDescent="0.85">
      <c r="B1065" s="24" t="s">
        <v>840</v>
      </c>
      <c r="C1065" s="166"/>
      <c r="D1065" s="31">
        <f>SUM(D1066:D1073)</f>
        <v>51679396.32</v>
      </c>
      <c r="E1065" s="31">
        <f t="shared" ref="E1065:AE1065" si="227">SUM(E1066:E1073)</f>
        <v>0</v>
      </c>
      <c r="F1065" s="31">
        <f t="shared" si="227"/>
        <v>0</v>
      </c>
      <c r="G1065" s="31">
        <f t="shared" si="227"/>
        <v>0</v>
      </c>
      <c r="H1065" s="31">
        <f t="shared" si="227"/>
        <v>0</v>
      </c>
      <c r="I1065" s="31">
        <f t="shared" si="227"/>
        <v>0</v>
      </c>
      <c r="J1065" s="31">
        <f t="shared" si="227"/>
        <v>0</v>
      </c>
      <c r="K1065" s="33">
        <f t="shared" si="227"/>
        <v>0</v>
      </c>
      <c r="L1065" s="31">
        <f t="shared" si="227"/>
        <v>0</v>
      </c>
      <c r="M1065" s="31">
        <f t="shared" si="227"/>
        <v>8012.4</v>
      </c>
      <c r="N1065" s="31">
        <f t="shared" si="227"/>
        <v>38548714.689999998</v>
      </c>
      <c r="O1065" s="31">
        <f t="shared" si="227"/>
        <v>0</v>
      </c>
      <c r="P1065" s="31">
        <f t="shared" si="227"/>
        <v>0</v>
      </c>
      <c r="Q1065" s="31">
        <f t="shared" si="227"/>
        <v>1159.1199999999999</v>
      </c>
      <c r="R1065" s="31">
        <f t="shared" si="227"/>
        <v>4474917.3</v>
      </c>
      <c r="S1065" s="31">
        <f t="shared" si="227"/>
        <v>209</v>
      </c>
      <c r="T1065" s="31">
        <f t="shared" si="227"/>
        <v>6571832.3700000001</v>
      </c>
      <c r="U1065" s="31">
        <f t="shared" si="227"/>
        <v>0</v>
      </c>
      <c r="V1065" s="31">
        <f t="shared" si="227"/>
        <v>0</v>
      </c>
      <c r="W1065" s="31">
        <f t="shared" si="227"/>
        <v>0</v>
      </c>
      <c r="X1065" s="31">
        <f t="shared" si="227"/>
        <v>0</v>
      </c>
      <c r="Y1065" s="31">
        <f t="shared" si="227"/>
        <v>0</v>
      </c>
      <c r="Z1065" s="31">
        <f t="shared" si="227"/>
        <v>0</v>
      </c>
      <c r="AA1065" s="31">
        <f t="shared" si="227"/>
        <v>0</v>
      </c>
      <c r="AB1065" s="31">
        <f t="shared" si="227"/>
        <v>0</v>
      </c>
      <c r="AC1065" s="31">
        <f t="shared" si="227"/>
        <v>743931.95999999985</v>
      </c>
      <c r="AD1065" s="31">
        <f t="shared" si="227"/>
        <v>1340000</v>
      </c>
      <c r="AE1065" s="31">
        <f t="shared" si="227"/>
        <v>0</v>
      </c>
      <c r="AF1065" s="72" t="s">
        <v>776</v>
      </c>
      <c r="AG1065" s="72" t="s">
        <v>776</v>
      </c>
      <c r="AH1065" s="89" t="s">
        <v>776</v>
      </c>
      <c r="AT1065" s="20" t="e">
        <f t="shared" si="226"/>
        <v>#N/A</v>
      </c>
      <c r="BZ1065" s="71">
        <v>51679396.32</v>
      </c>
    </row>
    <row r="1066" spans="1:78" ht="61.5" x14ac:dyDescent="0.85">
      <c r="A1066" s="20">
        <v>1</v>
      </c>
      <c r="B1066" s="66">
        <f>SUBTOTAL(103,$A$948:A1066)</f>
        <v>114</v>
      </c>
      <c r="C1066" s="24" t="s">
        <v>628</v>
      </c>
      <c r="D1066" s="31">
        <f t="shared" ref="D1066:D1073" si="228">E1066+F1066+G1066+H1066+I1066+J1066+L1066+N1066+P1066+R1066+T1066+U1066+V1066+W1066+X1066+Y1066+Z1066+AA1066+AB1066+AC1066+AD1066+AE1066</f>
        <v>5121801</v>
      </c>
      <c r="E1066" s="38">
        <v>0</v>
      </c>
      <c r="F1066" s="38">
        <v>0</v>
      </c>
      <c r="G1066" s="38">
        <v>0</v>
      </c>
      <c r="H1066" s="38">
        <v>0</v>
      </c>
      <c r="I1066" s="38">
        <v>0</v>
      </c>
      <c r="J1066" s="38">
        <v>0</v>
      </c>
      <c r="K1066" s="86">
        <v>0</v>
      </c>
      <c r="L1066" s="38">
        <v>0</v>
      </c>
      <c r="M1066" s="31">
        <v>981</v>
      </c>
      <c r="N1066" s="31">
        <v>4898326.1100000003</v>
      </c>
      <c r="O1066" s="31">
        <v>0</v>
      </c>
      <c r="P1066" s="31">
        <v>0</v>
      </c>
      <c r="Q1066" s="31">
        <v>0</v>
      </c>
      <c r="R1066" s="31">
        <v>0</v>
      </c>
      <c r="S1066" s="31">
        <v>0</v>
      </c>
      <c r="T1066" s="31">
        <v>0</v>
      </c>
      <c r="U1066" s="31">
        <v>0</v>
      </c>
      <c r="V1066" s="31">
        <v>0</v>
      </c>
      <c r="W1066" s="31">
        <v>0</v>
      </c>
      <c r="X1066" s="31">
        <v>0</v>
      </c>
      <c r="Y1066" s="31">
        <v>0</v>
      </c>
      <c r="Z1066" s="31">
        <v>0</v>
      </c>
      <c r="AA1066" s="31">
        <v>0</v>
      </c>
      <c r="AB1066" s="31">
        <v>0</v>
      </c>
      <c r="AC1066" s="31">
        <f>ROUND(N1066*1.5%,2)</f>
        <v>73474.89</v>
      </c>
      <c r="AD1066" s="31">
        <v>150000</v>
      </c>
      <c r="AE1066" s="31">
        <v>0</v>
      </c>
      <c r="AF1066" s="34">
        <v>2022</v>
      </c>
      <c r="AG1066" s="34">
        <v>2022</v>
      </c>
      <c r="AH1066" s="35">
        <v>2022</v>
      </c>
      <c r="AT1066" s="20" t="e">
        <f t="shared" si="226"/>
        <v>#N/A</v>
      </c>
      <c r="BZ1066" s="71"/>
    </row>
    <row r="1067" spans="1:78" ht="61.5" x14ac:dyDescent="0.85">
      <c r="A1067" s="20">
        <v>1</v>
      </c>
      <c r="B1067" s="66">
        <f>SUBTOTAL(103,$A$948:A1067)</f>
        <v>115</v>
      </c>
      <c r="C1067" s="24" t="s">
        <v>629</v>
      </c>
      <c r="D1067" s="31">
        <f t="shared" si="228"/>
        <v>8124000</v>
      </c>
      <c r="E1067" s="38">
        <v>0</v>
      </c>
      <c r="F1067" s="38">
        <v>0</v>
      </c>
      <c r="G1067" s="38">
        <v>0</v>
      </c>
      <c r="H1067" s="38">
        <v>0</v>
      </c>
      <c r="I1067" s="38">
        <v>0</v>
      </c>
      <c r="J1067" s="38">
        <v>0</v>
      </c>
      <c r="K1067" s="86">
        <v>0</v>
      </c>
      <c r="L1067" s="38">
        <v>0</v>
      </c>
      <c r="M1067" s="31">
        <v>1692.5</v>
      </c>
      <c r="N1067" s="31">
        <v>7826600.9900000002</v>
      </c>
      <c r="O1067" s="31">
        <v>0</v>
      </c>
      <c r="P1067" s="31">
        <v>0</v>
      </c>
      <c r="Q1067" s="31">
        <v>0</v>
      </c>
      <c r="R1067" s="31">
        <v>0</v>
      </c>
      <c r="S1067" s="31">
        <v>0</v>
      </c>
      <c r="T1067" s="31">
        <v>0</v>
      </c>
      <c r="U1067" s="31">
        <v>0</v>
      </c>
      <c r="V1067" s="31">
        <v>0</v>
      </c>
      <c r="W1067" s="31">
        <v>0</v>
      </c>
      <c r="X1067" s="31">
        <v>0</v>
      </c>
      <c r="Y1067" s="31">
        <v>0</v>
      </c>
      <c r="Z1067" s="31">
        <v>0</v>
      </c>
      <c r="AA1067" s="31">
        <v>0</v>
      </c>
      <c r="AB1067" s="31">
        <v>0</v>
      </c>
      <c r="AC1067" s="31">
        <f>ROUND(N1067*1.5%,2)</f>
        <v>117399.01</v>
      </c>
      <c r="AD1067" s="31">
        <v>180000</v>
      </c>
      <c r="AE1067" s="31">
        <v>0</v>
      </c>
      <c r="AF1067" s="34">
        <v>2022</v>
      </c>
      <c r="AG1067" s="34">
        <v>2022</v>
      </c>
      <c r="AH1067" s="35">
        <v>2022</v>
      </c>
      <c r="AT1067" s="20" t="e">
        <f t="shared" si="226"/>
        <v>#N/A</v>
      </c>
      <c r="BZ1067" s="71"/>
    </row>
    <row r="1068" spans="1:78" ht="61.5" x14ac:dyDescent="0.85">
      <c r="A1068" s="20">
        <v>1</v>
      </c>
      <c r="B1068" s="66">
        <f>SUBTOTAL(103,$A$948:A1068)</f>
        <v>116</v>
      </c>
      <c r="C1068" s="24" t="s">
        <v>635</v>
      </c>
      <c r="D1068" s="31">
        <f t="shared" si="228"/>
        <v>4742041.0599999996</v>
      </c>
      <c r="E1068" s="38">
        <v>0</v>
      </c>
      <c r="F1068" s="38">
        <v>0</v>
      </c>
      <c r="G1068" s="38">
        <v>0</v>
      </c>
      <c r="H1068" s="38">
        <v>0</v>
      </c>
      <c r="I1068" s="38">
        <v>0</v>
      </c>
      <c r="J1068" s="38">
        <v>0</v>
      </c>
      <c r="K1068" s="86">
        <v>0</v>
      </c>
      <c r="L1068" s="38">
        <v>0</v>
      </c>
      <c r="M1068" s="31">
        <v>0</v>
      </c>
      <c r="N1068" s="31">
        <v>0</v>
      </c>
      <c r="O1068" s="31">
        <v>0</v>
      </c>
      <c r="P1068" s="31">
        <v>0</v>
      </c>
      <c r="Q1068" s="31">
        <v>1159.1199999999999</v>
      </c>
      <c r="R1068" s="31">
        <v>4474917.3</v>
      </c>
      <c r="S1068" s="31">
        <v>0</v>
      </c>
      <c r="T1068" s="31">
        <v>0</v>
      </c>
      <c r="U1068" s="31">
        <v>0</v>
      </c>
      <c r="V1068" s="31">
        <v>0</v>
      </c>
      <c r="W1068" s="31">
        <v>0</v>
      </c>
      <c r="X1068" s="31">
        <v>0</v>
      </c>
      <c r="Y1068" s="31">
        <v>0</v>
      </c>
      <c r="Z1068" s="31">
        <v>0</v>
      </c>
      <c r="AA1068" s="31">
        <v>0</v>
      </c>
      <c r="AB1068" s="31">
        <v>0</v>
      </c>
      <c r="AC1068" s="31">
        <f>ROUND(R1068*1.5%,2)</f>
        <v>67123.759999999995</v>
      </c>
      <c r="AD1068" s="31">
        <v>200000</v>
      </c>
      <c r="AE1068" s="31">
        <v>0</v>
      </c>
      <c r="AF1068" s="34">
        <v>2022</v>
      </c>
      <c r="AG1068" s="34">
        <v>2022</v>
      </c>
      <c r="AH1068" s="35">
        <v>2022</v>
      </c>
      <c r="AT1068" s="20" t="e">
        <f t="shared" si="226"/>
        <v>#N/A</v>
      </c>
      <c r="BZ1068" s="71"/>
    </row>
    <row r="1069" spans="1:78" ht="61.5" x14ac:dyDescent="0.85">
      <c r="A1069" s="20">
        <v>1</v>
      </c>
      <c r="B1069" s="66">
        <f>SUBTOTAL(103,$A$948:A1069)</f>
        <v>117</v>
      </c>
      <c r="C1069" s="24" t="s">
        <v>633</v>
      </c>
      <c r="D1069" s="31">
        <f t="shared" si="228"/>
        <v>9052752</v>
      </c>
      <c r="E1069" s="38">
        <v>0</v>
      </c>
      <c r="F1069" s="38">
        <v>0</v>
      </c>
      <c r="G1069" s="38">
        <v>0</v>
      </c>
      <c r="H1069" s="38">
        <v>0</v>
      </c>
      <c r="I1069" s="38">
        <v>0</v>
      </c>
      <c r="J1069" s="38">
        <v>0</v>
      </c>
      <c r="K1069" s="86">
        <v>0</v>
      </c>
      <c r="L1069" s="38">
        <v>0</v>
      </c>
      <c r="M1069" s="31">
        <v>1812</v>
      </c>
      <c r="N1069" s="31">
        <v>8741627.5899999999</v>
      </c>
      <c r="O1069" s="31">
        <v>0</v>
      </c>
      <c r="P1069" s="31">
        <v>0</v>
      </c>
      <c r="Q1069" s="31">
        <v>0</v>
      </c>
      <c r="R1069" s="31">
        <v>0</v>
      </c>
      <c r="S1069" s="31">
        <v>0</v>
      </c>
      <c r="T1069" s="31">
        <v>0</v>
      </c>
      <c r="U1069" s="31">
        <v>0</v>
      </c>
      <c r="V1069" s="31">
        <v>0</v>
      </c>
      <c r="W1069" s="31">
        <v>0</v>
      </c>
      <c r="X1069" s="31">
        <v>0</v>
      </c>
      <c r="Y1069" s="31">
        <v>0</v>
      </c>
      <c r="Z1069" s="31">
        <v>0</v>
      </c>
      <c r="AA1069" s="31">
        <v>0</v>
      </c>
      <c r="AB1069" s="31">
        <v>0</v>
      </c>
      <c r="AC1069" s="31">
        <f>ROUND(N1069*1.5%,2)</f>
        <v>131124.41</v>
      </c>
      <c r="AD1069" s="31">
        <v>180000</v>
      </c>
      <c r="AE1069" s="31">
        <v>0</v>
      </c>
      <c r="AF1069" s="34">
        <v>2022</v>
      </c>
      <c r="AG1069" s="34">
        <v>2022</v>
      </c>
      <c r="AH1069" s="35">
        <v>2022</v>
      </c>
      <c r="AT1069" s="20" t="e">
        <f t="shared" si="226"/>
        <v>#N/A</v>
      </c>
      <c r="BZ1069" s="71"/>
    </row>
    <row r="1070" spans="1:78" ht="61.5" x14ac:dyDescent="0.85">
      <c r="A1070" s="20">
        <v>1</v>
      </c>
      <c r="B1070" s="66">
        <f>SUBTOTAL(103,$A$948:A1070)</f>
        <v>118</v>
      </c>
      <c r="C1070" s="24" t="s">
        <v>647</v>
      </c>
      <c r="D1070" s="31">
        <f t="shared" si="228"/>
        <v>6820409.8600000003</v>
      </c>
      <c r="E1070" s="38">
        <v>0</v>
      </c>
      <c r="F1070" s="38">
        <v>0</v>
      </c>
      <c r="G1070" s="38">
        <v>0</v>
      </c>
      <c r="H1070" s="38">
        <v>0</v>
      </c>
      <c r="I1070" s="38">
        <v>0</v>
      </c>
      <c r="J1070" s="38">
        <v>0</v>
      </c>
      <c r="K1070" s="86">
        <v>0</v>
      </c>
      <c r="L1070" s="38">
        <v>0</v>
      </c>
      <c r="M1070" s="31">
        <v>0</v>
      </c>
      <c r="N1070" s="31">
        <v>0</v>
      </c>
      <c r="O1070" s="31">
        <v>0</v>
      </c>
      <c r="P1070" s="31">
        <v>0</v>
      </c>
      <c r="Q1070" s="31">
        <v>0</v>
      </c>
      <c r="R1070" s="31">
        <v>0</v>
      </c>
      <c r="S1070" s="31">
        <v>209</v>
      </c>
      <c r="T1070" s="31">
        <v>6571832.3700000001</v>
      </c>
      <c r="U1070" s="31">
        <v>0</v>
      </c>
      <c r="V1070" s="31">
        <v>0</v>
      </c>
      <c r="W1070" s="31">
        <v>0</v>
      </c>
      <c r="X1070" s="31">
        <v>0</v>
      </c>
      <c r="Y1070" s="31">
        <v>0</v>
      </c>
      <c r="Z1070" s="31">
        <v>0</v>
      </c>
      <c r="AA1070" s="31">
        <v>0</v>
      </c>
      <c r="AB1070" s="31">
        <v>0</v>
      </c>
      <c r="AC1070" s="31">
        <f>ROUND(T1070*1.5%,2)</f>
        <v>98577.49</v>
      </c>
      <c r="AD1070" s="31">
        <v>150000</v>
      </c>
      <c r="AE1070" s="31">
        <v>0</v>
      </c>
      <c r="AF1070" s="34">
        <v>2022</v>
      </c>
      <c r="AG1070" s="34">
        <v>2022</v>
      </c>
      <c r="AH1070" s="35">
        <v>2022</v>
      </c>
      <c r="AT1070" s="20" t="e">
        <f t="shared" si="226"/>
        <v>#N/A</v>
      </c>
      <c r="BZ1070" s="71"/>
    </row>
    <row r="1071" spans="1:78" ht="61.5" x14ac:dyDescent="0.85">
      <c r="A1071" s="20">
        <v>1</v>
      </c>
      <c r="B1071" s="66">
        <f>SUBTOTAL(103,$A$948:A1071)</f>
        <v>119</v>
      </c>
      <c r="C1071" s="24" t="s">
        <v>651</v>
      </c>
      <c r="D1071" s="31">
        <f t="shared" si="228"/>
        <v>9102212.3999999985</v>
      </c>
      <c r="E1071" s="38">
        <v>0</v>
      </c>
      <c r="F1071" s="38">
        <v>0</v>
      </c>
      <c r="G1071" s="38">
        <v>0</v>
      </c>
      <c r="H1071" s="38">
        <v>0</v>
      </c>
      <c r="I1071" s="38">
        <v>0</v>
      </c>
      <c r="J1071" s="38">
        <v>0</v>
      </c>
      <c r="K1071" s="86">
        <v>0</v>
      </c>
      <c r="L1071" s="38">
        <v>0</v>
      </c>
      <c r="M1071" s="31">
        <v>1821.9</v>
      </c>
      <c r="N1071" s="31">
        <v>8790357.0399999991</v>
      </c>
      <c r="O1071" s="31">
        <v>0</v>
      </c>
      <c r="P1071" s="31">
        <v>0</v>
      </c>
      <c r="Q1071" s="31">
        <v>0</v>
      </c>
      <c r="R1071" s="31">
        <v>0</v>
      </c>
      <c r="S1071" s="31">
        <v>0</v>
      </c>
      <c r="T1071" s="31">
        <v>0</v>
      </c>
      <c r="U1071" s="31">
        <v>0</v>
      </c>
      <c r="V1071" s="31">
        <v>0</v>
      </c>
      <c r="W1071" s="31">
        <v>0</v>
      </c>
      <c r="X1071" s="31">
        <v>0</v>
      </c>
      <c r="Y1071" s="31">
        <v>0</v>
      </c>
      <c r="Z1071" s="31">
        <v>0</v>
      </c>
      <c r="AA1071" s="31">
        <v>0</v>
      </c>
      <c r="AB1071" s="31">
        <v>0</v>
      </c>
      <c r="AC1071" s="31">
        <f>ROUND(N1071*1.5%,2)</f>
        <v>131855.35999999999</v>
      </c>
      <c r="AD1071" s="31">
        <v>180000</v>
      </c>
      <c r="AE1071" s="31">
        <v>0</v>
      </c>
      <c r="AF1071" s="34">
        <v>2022</v>
      </c>
      <c r="AG1071" s="34">
        <v>2022</v>
      </c>
      <c r="AH1071" s="35">
        <v>2022</v>
      </c>
      <c r="AT1071" s="20" t="e">
        <f t="shared" si="226"/>
        <v>#N/A</v>
      </c>
      <c r="BZ1071" s="71"/>
    </row>
    <row r="1072" spans="1:78" ht="61.5" x14ac:dyDescent="0.85">
      <c r="A1072" s="20">
        <v>1</v>
      </c>
      <c r="B1072" s="66">
        <f>SUBTOTAL(103,$A$948:A1072)</f>
        <v>120</v>
      </c>
      <c r="C1072" s="24" t="s">
        <v>655</v>
      </c>
      <c r="D1072" s="31">
        <f t="shared" si="228"/>
        <v>4594480</v>
      </c>
      <c r="E1072" s="38">
        <v>0</v>
      </c>
      <c r="F1072" s="38">
        <v>0</v>
      </c>
      <c r="G1072" s="38">
        <v>0</v>
      </c>
      <c r="H1072" s="38">
        <v>0</v>
      </c>
      <c r="I1072" s="38">
        <v>0</v>
      </c>
      <c r="J1072" s="38">
        <v>0</v>
      </c>
      <c r="K1072" s="86">
        <v>0</v>
      </c>
      <c r="L1072" s="38">
        <v>0</v>
      </c>
      <c r="M1072" s="31">
        <v>880</v>
      </c>
      <c r="N1072" s="31">
        <v>4378798.03</v>
      </c>
      <c r="O1072" s="31">
        <v>0</v>
      </c>
      <c r="P1072" s="31">
        <v>0</v>
      </c>
      <c r="Q1072" s="31">
        <v>0</v>
      </c>
      <c r="R1072" s="31">
        <v>0</v>
      </c>
      <c r="S1072" s="31">
        <v>0</v>
      </c>
      <c r="T1072" s="31">
        <v>0</v>
      </c>
      <c r="U1072" s="31">
        <v>0</v>
      </c>
      <c r="V1072" s="31">
        <v>0</v>
      </c>
      <c r="W1072" s="31">
        <v>0</v>
      </c>
      <c r="X1072" s="31">
        <v>0</v>
      </c>
      <c r="Y1072" s="31">
        <v>0</v>
      </c>
      <c r="Z1072" s="31">
        <v>0</v>
      </c>
      <c r="AA1072" s="31">
        <v>0</v>
      </c>
      <c r="AB1072" s="31">
        <v>0</v>
      </c>
      <c r="AC1072" s="31">
        <f>ROUND(N1072*1.5%,2)</f>
        <v>65681.97</v>
      </c>
      <c r="AD1072" s="31">
        <v>150000</v>
      </c>
      <c r="AE1072" s="31">
        <v>0</v>
      </c>
      <c r="AF1072" s="34">
        <v>2022</v>
      </c>
      <c r="AG1072" s="34">
        <v>2022</v>
      </c>
      <c r="AH1072" s="35">
        <v>2022</v>
      </c>
      <c r="AT1072" s="20" t="e">
        <f t="shared" si="226"/>
        <v>#N/A</v>
      </c>
      <c r="BZ1072" s="71"/>
    </row>
    <row r="1073" spans="1:78" ht="61.5" x14ac:dyDescent="0.85">
      <c r="A1073" s="20">
        <v>1</v>
      </c>
      <c r="B1073" s="66">
        <f>SUBTOTAL(103,$A$948:A1073)</f>
        <v>121</v>
      </c>
      <c r="C1073" s="24" t="s">
        <v>654</v>
      </c>
      <c r="D1073" s="31">
        <f t="shared" si="228"/>
        <v>4121700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0</v>
      </c>
      <c r="K1073" s="86">
        <v>0</v>
      </c>
      <c r="L1073" s="38">
        <v>0</v>
      </c>
      <c r="M1073" s="31">
        <v>825</v>
      </c>
      <c r="N1073" s="31">
        <v>3913004.93</v>
      </c>
      <c r="O1073" s="31">
        <v>0</v>
      </c>
      <c r="P1073" s="31">
        <v>0</v>
      </c>
      <c r="Q1073" s="31">
        <v>0</v>
      </c>
      <c r="R1073" s="31">
        <v>0</v>
      </c>
      <c r="S1073" s="31">
        <v>0</v>
      </c>
      <c r="T1073" s="31">
        <v>0</v>
      </c>
      <c r="U1073" s="31">
        <v>0</v>
      </c>
      <c r="V1073" s="31">
        <v>0</v>
      </c>
      <c r="W1073" s="31">
        <v>0</v>
      </c>
      <c r="X1073" s="31">
        <v>0</v>
      </c>
      <c r="Y1073" s="31">
        <v>0</v>
      </c>
      <c r="Z1073" s="31">
        <v>0</v>
      </c>
      <c r="AA1073" s="31">
        <v>0</v>
      </c>
      <c r="AB1073" s="31">
        <v>0</v>
      </c>
      <c r="AC1073" s="31">
        <f>ROUND(N1073*1.5%,2)</f>
        <v>58695.07</v>
      </c>
      <c r="AD1073" s="31">
        <v>150000</v>
      </c>
      <c r="AE1073" s="31">
        <v>0</v>
      </c>
      <c r="AF1073" s="34">
        <v>2022</v>
      </c>
      <c r="AG1073" s="34">
        <v>2022</v>
      </c>
      <c r="AH1073" s="35">
        <v>2022</v>
      </c>
      <c r="AT1073" s="20" t="e">
        <f t="shared" si="226"/>
        <v>#N/A</v>
      </c>
      <c r="BZ1073" s="71"/>
    </row>
    <row r="1074" spans="1:78" ht="61.5" x14ac:dyDescent="0.85">
      <c r="B1074" s="24" t="s">
        <v>841</v>
      </c>
      <c r="C1074" s="24"/>
      <c r="D1074" s="31">
        <f>SUM(D1075:D1077)</f>
        <v>9890638.1399999987</v>
      </c>
      <c r="E1074" s="31">
        <f t="shared" ref="E1074:AE1074" si="229">SUM(E1075:E1077)</f>
        <v>0</v>
      </c>
      <c r="F1074" s="31">
        <f t="shared" si="229"/>
        <v>0</v>
      </c>
      <c r="G1074" s="31">
        <f t="shared" si="229"/>
        <v>0</v>
      </c>
      <c r="H1074" s="31">
        <f t="shared" si="229"/>
        <v>0</v>
      </c>
      <c r="I1074" s="31">
        <f t="shared" si="229"/>
        <v>0</v>
      </c>
      <c r="J1074" s="31">
        <f t="shared" si="229"/>
        <v>0</v>
      </c>
      <c r="K1074" s="33">
        <f t="shared" si="229"/>
        <v>0</v>
      </c>
      <c r="L1074" s="31">
        <f t="shared" si="229"/>
        <v>0</v>
      </c>
      <c r="M1074" s="31">
        <f t="shared" si="229"/>
        <v>1978.7</v>
      </c>
      <c r="N1074" s="31">
        <f t="shared" si="229"/>
        <v>9350382.4000000004</v>
      </c>
      <c r="O1074" s="31">
        <f t="shared" si="229"/>
        <v>0</v>
      </c>
      <c r="P1074" s="31">
        <f t="shared" si="229"/>
        <v>0</v>
      </c>
      <c r="Q1074" s="31">
        <f t="shared" si="229"/>
        <v>0</v>
      </c>
      <c r="R1074" s="31">
        <f t="shared" si="229"/>
        <v>0</v>
      </c>
      <c r="S1074" s="31">
        <f t="shared" si="229"/>
        <v>0</v>
      </c>
      <c r="T1074" s="31">
        <f t="shared" si="229"/>
        <v>0</v>
      </c>
      <c r="U1074" s="31">
        <f t="shared" si="229"/>
        <v>0</v>
      </c>
      <c r="V1074" s="31">
        <f t="shared" si="229"/>
        <v>0</v>
      </c>
      <c r="W1074" s="31">
        <f t="shared" si="229"/>
        <v>0</v>
      </c>
      <c r="X1074" s="31">
        <f t="shared" si="229"/>
        <v>0</v>
      </c>
      <c r="Y1074" s="31">
        <f t="shared" si="229"/>
        <v>0</v>
      </c>
      <c r="Z1074" s="31">
        <f t="shared" si="229"/>
        <v>0</v>
      </c>
      <c r="AA1074" s="31">
        <f t="shared" si="229"/>
        <v>0</v>
      </c>
      <c r="AB1074" s="31">
        <f t="shared" si="229"/>
        <v>0</v>
      </c>
      <c r="AC1074" s="31">
        <f t="shared" si="229"/>
        <v>140255.74</v>
      </c>
      <c r="AD1074" s="31">
        <f t="shared" si="229"/>
        <v>400000</v>
      </c>
      <c r="AE1074" s="31">
        <f t="shared" si="229"/>
        <v>0</v>
      </c>
      <c r="AF1074" s="72" t="s">
        <v>776</v>
      </c>
      <c r="AG1074" s="72" t="s">
        <v>776</v>
      </c>
      <c r="AH1074" s="89" t="s">
        <v>776</v>
      </c>
      <c r="AT1074" s="20" t="e">
        <f t="shared" si="226"/>
        <v>#N/A</v>
      </c>
      <c r="BZ1074" s="71">
        <v>9890638.1399999987</v>
      </c>
    </row>
    <row r="1075" spans="1:78" ht="61.5" x14ac:dyDescent="0.85">
      <c r="A1075" s="20">
        <v>1</v>
      </c>
      <c r="B1075" s="66">
        <f>SUBTOTAL(103,$A$948:A1075)</f>
        <v>122</v>
      </c>
      <c r="C1075" s="24" t="s">
        <v>660</v>
      </c>
      <c r="D1075" s="31">
        <f>E1075+F1075+G1075+H1075+I1075+J1075+L1075+N1075+P1075+R1075+T1075+U1075+V1075+W1075+X1075+Y1075+Z1075+AA1075+AB1075+AC1075+AD1075+AE1075</f>
        <v>4229613.5999999996</v>
      </c>
      <c r="E1075" s="38">
        <v>0</v>
      </c>
      <c r="F1075" s="38">
        <v>0</v>
      </c>
      <c r="G1075" s="38">
        <v>0</v>
      </c>
      <c r="H1075" s="38">
        <v>0</v>
      </c>
      <c r="I1075" s="38">
        <v>0</v>
      </c>
      <c r="J1075" s="38">
        <v>0</v>
      </c>
      <c r="K1075" s="86">
        <v>0</v>
      </c>
      <c r="L1075" s="38">
        <v>0</v>
      </c>
      <c r="M1075" s="31">
        <v>846.6</v>
      </c>
      <c r="N1075" s="31">
        <v>4019323.74</v>
      </c>
      <c r="O1075" s="31">
        <v>0</v>
      </c>
      <c r="P1075" s="31">
        <v>0</v>
      </c>
      <c r="Q1075" s="31">
        <v>0</v>
      </c>
      <c r="R1075" s="31">
        <v>0</v>
      </c>
      <c r="S1075" s="31">
        <v>0</v>
      </c>
      <c r="T1075" s="31">
        <v>0</v>
      </c>
      <c r="U1075" s="31">
        <v>0</v>
      </c>
      <c r="V1075" s="31">
        <v>0</v>
      </c>
      <c r="W1075" s="31">
        <v>0</v>
      </c>
      <c r="X1075" s="31">
        <v>0</v>
      </c>
      <c r="Y1075" s="31">
        <v>0</v>
      </c>
      <c r="Z1075" s="31">
        <v>0</v>
      </c>
      <c r="AA1075" s="31">
        <v>0</v>
      </c>
      <c r="AB1075" s="31">
        <v>0</v>
      </c>
      <c r="AC1075" s="31">
        <f>ROUND(N1075*1.5%,2)</f>
        <v>60289.86</v>
      </c>
      <c r="AD1075" s="31">
        <v>150000</v>
      </c>
      <c r="AE1075" s="31">
        <v>0</v>
      </c>
      <c r="AF1075" s="34">
        <v>2022</v>
      </c>
      <c r="AG1075" s="34">
        <v>2022</v>
      </c>
      <c r="AH1075" s="35">
        <v>2022</v>
      </c>
      <c r="AT1075" s="20" t="e">
        <f t="shared" si="226"/>
        <v>#N/A</v>
      </c>
      <c r="BZ1075" s="71"/>
    </row>
    <row r="1076" spans="1:78" ht="61.5" x14ac:dyDescent="0.85">
      <c r="A1076" s="20">
        <v>1</v>
      </c>
      <c r="B1076" s="66">
        <f>SUBTOTAL(103,$A$948:A1076)</f>
        <v>123</v>
      </c>
      <c r="C1076" s="24" t="s">
        <v>1122</v>
      </c>
      <c r="D1076" s="31">
        <f>E1076+F1076+G1076+H1076+I1076+J1076+L1076+N1076+P1076+R1076+T1076+U1076+V1076+W1076+X1076+Y1076+Z1076+AA1076+AB1076+AC1076+AD1076+AE1076</f>
        <v>4226815.84</v>
      </c>
      <c r="E1076" s="38">
        <v>0</v>
      </c>
      <c r="F1076" s="38">
        <v>0</v>
      </c>
      <c r="G1076" s="38">
        <v>0</v>
      </c>
      <c r="H1076" s="38">
        <v>0</v>
      </c>
      <c r="I1076" s="38">
        <v>0</v>
      </c>
      <c r="J1076" s="38">
        <v>0</v>
      </c>
      <c r="K1076" s="86">
        <v>0</v>
      </c>
      <c r="L1076" s="38">
        <v>0</v>
      </c>
      <c r="M1076" s="31">
        <v>857.4</v>
      </c>
      <c r="N1076" s="31">
        <v>4036271.76</v>
      </c>
      <c r="O1076" s="31">
        <v>0</v>
      </c>
      <c r="P1076" s="31">
        <v>0</v>
      </c>
      <c r="Q1076" s="31">
        <v>0</v>
      </c>
      <c r="R1076" s="31">
        <v>0</v>
      </c>
      <c r="S1076" s="31">
        <v>0</v>
      </c>
      <c r="T1076" s="31">
        <v>0</v>
      </c>
      <c r="U1076" s="31">
        <v>0</v>
      </c>
      <c r="V1076" s="31">
        <v>0</v>
      </c>
      <c r="W1076" s="31">
        <v>0</v>
      </c>
      <c r="X1076" s="31">
        <v>0</v>
      </c>
      <c r="Y1076" s="31">
        <v>0</v>
      </c>
      <c r="Z1076" s="31">
        <v>0</v>
      </c>
      <c r="AA1076" s="31">
        <v>0</v>
      </c>
      <c r="AB1076" s="31">
        <v>0</v>
      </c>
      <c r="AC1076" s="31">
        <f>ROUND(N1076*1.5%,2)</f>
        <v>60544.08</v>
      </c>
      <c r="AD1076" s="31">
        <v>130000</v>
      </c>
      <c r="AE1076" s="31">
        <v>0</v>
      </c>
      <c r="AF1076" s="34">
        <v>2022</v>
      </c>
      <c r="AG1076" s="34">
        <v>2022</v>
      </c>
      <c r="AH1076" s="35">
        <v>2022</v>
      </c>
      <c r="BZ1076" s="71"/>
    </row>
    <row r="1077" spans="1:78" ht="61.5" x14ac:dyDescent="0.85">
      <c r="A1077" s="20">
        <v>1</v>
      </c>
      <c r="B1077" s="66">
        <f>SUBTOTAL(103,$A$948:A1077)</f>
        <v>124</v>
      </c>
      <c r="C1077" s="24" t="s">
        <v>658</v>
      </c>
      <c r="D1077" s="31">
        <f>E1077+F1077+G1077+H1077+I1077+J1077+L1077+N1077+P1077+R1077+T1077+U1077+V1077+W1077+X1077+Y1077+Z1077+AA1077+AB1077+AC1077+AD1077+AE1077</f>
        <v>1434208.7</v>
      </c>
      <c r="E1077" s="38">
        <v>0</v>
      </c>
      <c r="F1077" s="38">
        <v>0</v>
      </c>
      <c r="G1077" s="38">
        <v>0</v>
      </c>
      <c r="H1077" s="38">
        <v>0</v>
      </c>
      <c r="I1077" s="38">
        <v>0</v>
      </c>
      <c r="J1077" s="38">
        <v>0</v>
      </c>
      <c r="K1077" s="86">
        <v>0</v>
      </c>
      <c r="L1077" s="38">
        <v>0</v>
      </c>
      <c r="M1077" s="31">
        <v>274.7</v>
      </c>
      <c r="N1077" s="31">
        <v>1294786.8999999999</v>
      </c>
      <c r="O1077" s="31">
        <v>0</v>
      </c>
      <c r="P1077" s="31">
        <v>0</v>
      </c>
      <c r="Q1077" s="31">
        <v>0</v>
      </c>
      <c r="R1077" s="31">
        <v>0</v>
      </c>
      <c r="S1077" s="31">
        <v>0</v>
      </c>
      <c r="T1077" s="31">
        <v>0</v>
      </c>
      <c r="U1077" s="31">
        <v>0</v>
      </c>
      <c r="V1077" s="31">
        <v>0</v>
      </c>
      <c r="W1077" s="31">
        <v>0</v>
      </c>
      <c r="X1077" s="31">
        <v>0</v>
      </c>
      <c r="Y1077" s="31">
        <v>0</v>
      </c>
      <c r="Z1077" s="31">
        <v>0</v>
      </c>
      <c r="AA1077" s="31">
        <v>0</v>
      </c>
      <c r="AB1077" s="31">
        <v>0</v>
      </c>
      <c r="AC1077" s="31">
        <f>ROUND(N1077*1.5%,2)</f>
        <v>19421.8</v>
      </c>
      <c r="AD1077" s="31">
        <v>120000</v>
      </c>
      <c r="AE1077" s="31">
        <v>0</v>
      </c>
      <c r="AF1077" s="34">
        <v>2022</v>
      </c>
      <c r="AG1077" s="34">
        <v>2022</v>
      </c>
      <c r="AH1077" s="35">
        <v>2022</v>
      </c>
      <c r="AT1077" s="20" t="e">
        <f t="shared" ref="AT1077:AT1108" si="230">VLOOKUP(C1077,AW:AX,2,FALSE)</f>
        <v>#N/A</v>
      </c>
      <c r="BZ1077" s="71"/>
    </row>
    <row r="1078" spans="1:78" ht="61.5" x14ac:dyDescent="0.85">
      <c r="B1078" s="24" t="s">
        <v>842</v>
      </c>
      <c r="C1078" s="24"/>
      <c r="D1078" s="31">
        <f>D1079+D1080</f>
        <v>11422752.699999999</v>
      </c>
      <c r="E1078" s="31">
        <f t="shared" ref="E1078:AE1078" si="231">E1079+E1080</f>
        <v>0</v>
      </c>
      <c r="F1078" s="31">
        <f t="shared" si="231"/>
        <v>0</v>
      </c>
      <c r="G1078" s="31">
        <f t="shared" si="231"/>
        <v>3881891.1399999997</v>
      </c>
      <c r="H1078" s="31">
        <f t="shared" si="231"/>
        <v>0</v>
      </c>
      <c r="I1078" s="31">
        <f t="shared" si="231"/>
        <v>0</v>
      </c>
      <c r="J1078" s="31">
        <f t="shared" si="231"/>
        <v>0</v>
      </c>
      <c r="K1078" s="33">
        <f t="shared" si="231"/>
        <v>0</v>
      </c>
      <c r="L1078" s="31">
        <f t="shared" si="231"/>
        <v>0</v>
      </c>
      <c r="M1078" s="31">
        <f t="shared" si="231"/>
        <v>0</v>
      </c>
      <c r="N1078" s="31">
        <f t="shared" si="231"/>
        <v>0</v>
      </c>
      <c r="O1078" s="31">
        <f t="shared" si="231"/>
        <v>0</v>
      </c>
      <c r="P1078" s="31">
        <f t="shared" si="231"/>
        <v>0</v>
      </c>
      <c r="Q1078" s="31">
        <f t="shared" si="231"/>
        <v>782.6</v>
      </c>
      <c r="R1078" s="31">
        <f t="shared" si="231"/>
        <v>2719809.65</v>
      </c>
      <c r="S1078" s="31">
        <f t="shared" si="231"/>
        <v>144</v>
      </c>
      <c r="T1078" s="31">
        <f t="shared" si="231"/>
        <v>4061109.75</v>
      </c>
      <c r="U1078" s="31">
        <f t="shared" si="231"/>
        <v>0</v>
      </c>
      <c r="V1078" s="31">
        <f t="shared" si="231"/>
        <v>0</v>
      </c>
      <c r="W1078" s="31">
        <f t="shared" si="231"/>
        <v>0</v>
      </c>
      <c r="X1078" s="31">
        <f t="shared" si="231"/>
        <v>0</v>
      </c>
      <c r="Y1078" s="31">
        <f t="shared" si="231"/>
        <v>0</v>
      </c>
      <c r="Z1078" s="31">
        <f t="shared" si="231"/>
        <v>0</v>
      </c>
      <c r="AA1078" s="31">
        <f t="shared" si="231"/>
        <v>0</v>
      </c>
      <c r="AB1078" s="31">
        <f t="shared" si="231"/>
        <v>0</v>
      </c>
      <c r="AC1078" s="31">
        <f t="shared" si="231"/>
        <v>159942.16</v>
      </c>
      <c r="AD1078" s="31">
        <f t="shared" si="231"/>
        <v>600000</v>
      </c>
      <c r="AE1078" s="31">
        <f t="shared" si="231"/>
        <v>0</v>
      </c>
      <c r="AF1078" s="72" t="s">
        <v>776</v>
      </c>
      <c r="AG1078" s="72" t="s">
        <v>776</v>
      </c>
      <c r="AH1078" s="89" t="s">
        <v>776</v>
      </c>
      <c r="AT1078" s="20" t="e">
        <f t="shared" si="230"/>
        <v>#N/A</v>
      </c>
      <c r="BZ1078" s="71">
        <v>11422752.699999999</v>
      </c>
    </row>
    <row r="1079" spans="1:78" ht="61.5" x14ac:dyDescent="0.85">
      <c r="A1079" s="20">
        <v>1</v>
      </c>
      <c r="B1079" s="66">
        <f>SUBTOTAL(103,$A$948:A1079)</f>
        <v>125</v>
      </c>
      <c r="C1079" s="24" t="s">
        <v>664</v>
      </c>
      <c r="D1079" s="31">
        <f>E1079+F1079+G1079+H1079+I1079+J1079+L1079+N1079+P1079+R1079+T1079+U1079+V1079+W1079+X1079+Y1079+Z1079+AA1079+AB1079+AC1079+AD1079+AE1079</f>
        <v>4240119.51</v>
      </c>
      <c r="E1079" s="38">
        <v>0</v>
      </c>
      <c r="F1079" s="38">
        <v>0</v>
      </c>
      <c r="G1079" s="31">
        <v>3881891.1399999997</v>
      </c>
      <c r="H1079" s="38">
        <v>0</v>
      </c>
      <c r="I1079" s="38">
        <v>0</v>
      </c>
      <c r="J1079" s="38">
        <v>0</v>
      </c>
      <c r="K1079" s="86">
        <v>0</v>
      </c>
      <c r="L1079" s="38">
        <v>0</v>
      </c>
      <c r="M1079" s="31">
        <v>0</v>
      </c>
      <c r="N1079" s="31">
        <v>0</v>
      </c>
      <c r="O1079" s="31">
        <v>0</v>
      </c>
      <c r="P1079" s="31">
        <v>0</v>
      </c>
      <c r="Q1079" s="31">
        <v>0</v>
      </c>
      <c r="R1079" s="31">
        <v>0</v>
      </c>
      <c r="S1079" s="31">
        <v>0</v>
      </c>
      <c r="T1079" s="31">
        <v>0</v>
      </c>
      <c r="U1079" s="31">
        <v>0</v>
      </c>
      <c r="V1079" s="31">
        <v>0</v>
      </c>
      <c r="W1079" s="31">
        <v>0</v>
      </c>
      <c r="X1079" s="31">
        <v>0</v>
      </c>
      <c r="Y1079" s="31">
        <v>0</v>
      </c>
      <c r="Z1079" s="31">
        <v>0</v>
      </c>
      <c r="AA1079" s="31">
        <v>0</v>
      </c>
      <c r="AB1079" s="31">
        <v>0</v>
      </c>
      <c r="AC1079" s="31">
        <f>ROUND((E1079+F1079+G1079+H1079+I1079+J1079)*1.5%,2)</f>
        <v>58228.37</v>
      </c>
      <c r="AD1079" s="31">
        <v>300000</v>
      </c>
      <c r="AE1079" s="31">
        <v>0</v>
      </c>
      <c r="AF1079" s="34">
        <v>2022</v>
      </c>
      <c r="AG1079" s="34">
        <v>2022</v>
      </c>
      <c r="AH1079" s="35">
        <v>2022</v>
      </c>
      <c r="AT1079" s="20" t="e">
        <f t="shared" si="230"/>
        <v>#N/A</v>
      </c>
      <c r="BZ1079" s="71"/>
    </row>
    <row r="1080" spans="1:78" ht="61.5" x14ac:dyDescent="0.85">
      <c r="A1080" s="20">
        <v>1</v>
      </c>
      <c r="B1080" s="66">
        <f>SUBTOTAL(103,$A$948:A1080)</f>
        <v>126</v>
      </c>
      <c r="C1080" s="24" t="s">
        <v>668</v>
      </c>
      <c r="D1080" s="31">
        <f>E1080+F1080+G1080+H1080+I1080+J1080+L1080+N1080+P1080+R1080+T1080+U1080+V1080+W1080+X1080+Y1080+Z1080+AA1080+AB1080+AC1080+AD1080+AE1080</f>
        <v>7182633.1900000004</v>
      </c>
      <c r="E1080" s="38">
        <v>0</v>
      </c>
      <c r="F1080" s="38">
        <v>0</v>
      </c>
      <c r="G1080" s="39">
        <v>0</v>
      </c>
      <c r="H1080" s="38">
        <v>0</v>
      </c>
      <c r="I1080" s="38">
        <v>0</v>
      </c>
      <c r="J1080" s="38">
        <v>0</v>
      </c>
      <c r="K1080" s="86">
        <v>0</v>
      </c>
      <c r="L1080" s="38">
        <v>0</v>
      </c>
      <c r="M1080" s="31">
        <v>0</v>
      </c>
      <c r="N1080" s="31">
        <v>0</v>
      </c>
      <c r="O1080" s="31">
        <v>0</v>
      </c>
      <c r="P1080" s="31">
        <v>0</v>
      </c>
      <c r="Q1080" s="31">
        <v>782.6</v>
      </c>
      <c r="R1080" s="31">
        <v>2719809.65</v>
      </c>
      <c r="S1080" s="31">
        <v>144</v>
      </c>
      <c r="T1080" s="31">
        <v>4061109.75</v>
      </c>
      <c r="U1080" s="31">
        <v>0</v>
      </c>
      <c r="V1080" s="31">
        <v>0</v>
      </c>
      <c r="W1080" s="31">
        <v>0</v>
      </c>
      <c r="X1080" s="31">
        <v>0</v>
      </c>
      <c r="Y1080" s="31">
        <v>0</v>
      </c>
      <c r="Z1080" s="31">
        <v>0</v>
      </c>
      <c r="AA1080" s="31">
        <v>0</v>
      </c>
      <c r="AB1080" s="31">
        <v>0</v>
      </c>
      <c r="AC1080" s="31">
        <f>ROUND((R1080+T1080)*1.5%,2)</f>
        <v>101713.79</v>
      </c>
      <c r="AD1080" s="31">
        <v>300000</v>
      </c>
      <c r="AE1080" s="31">
        <v>0</v>
      </c>
      <c r="AF1080" s="34">
        <v>2022</v>
      </c>
      <c r="AG1080" s="34">
        <v>2022</v>
      </c>
      <c r="AH1080" s="35">
        <v>2022</v>
      </c>
      <c r="AT1080" s="20" t="e">
        <f t="shared" si="230"/>
        <v>#N/A</v>
      </c>
      <c r="BZ1080" s="71"/>
    </row>
    <row r="1081" spans="1:78" ht="61.5" x14ac:dyDescent="0.85">
      <c r="B1081" s="24" t="s">
        <v>843</v>
      </c>
      <c r="C1081" s="24"/>
      <c r="D1081" s="31">
        <f>D1082+D1083</f>
        <v>8756823</v>
      </c>
      <c r="E1081" s="31">
        <f t="shared" ref="E1081:AE1081" si="232">E1082+E1083</f>
        <v>0</v>
      </c>
      <c r="F1081" s="31">
        <f t="shared" si="232"/>
        <v>0</v>
      </c>
      <c r="G1081" s="31">
        <f t="shared" si="232"/>
        <v>0</v>
      </c>
      <c r="H1081" s="31">
        <f t="shared" si="232"/>
        <v>0</v>
      </c>
      <c r="I1081" s="31">
        <f t="shared" si="232"/>
        <v>0</v>
      </c>
      <c r="J1081" s="31">
        <f t="shared" si="232"/>
        <v>0</v>
      </c>
      <c r="K1081" s="33">
        <f t="shared" si="232"/>
        <v>0</v>
      </c>
      <c r="L1081" s="31">
        <f t="shared" si="232"/>
        <v>0</v>
      </c>
      <c r="M1081" s="31">
        <f t="shared" si="232"/>
        <v>1713</v>
      </c>
      <c r="N1081" s="31">
        <f t="shared" si="232"/>
        <v>8331845.3199999994</v>
      </c>
      <c r="O1081" s="31">
        <f t="shared" si="232"/>
        <v>0</v>
      </c>
      <c r="P1081" s="31">
        <f t="shared" si="232"/>
        <v>0</v>
      </c>
      <c r="Q1081" s="31">
        <f t="shared" si="232"/>
        <v>0</v>
      </c>
      <c r="R1081" s="31">
        <f t="shared" si="232"/>
        <v>0</v>
      </c>
      <c r="S1081" s="31">
        <f t="shared" si="232"/>
        <v>0</v>
      </c>
      <c r="T1081" s="31">
        <f t="shared" si="232"/>
        <v>0</v>
      </c>
      <c r="U1081" s="31">
        <f t="shared" si="232"/>
        <v>0</v>
      </c>
      <c r="V1081" s="31">
        <f t="shared" si="232"/>
        <v>0</v>
      </c>
      <c r="W1081" s="31">
        <f t="shared" si="232"/>
        <v>0</v>
      </c>
      <c r="X1081" s="31">
        <f t="shared" si="232"/>
        <v>0</v>
      </c>
      <c r="Y1081" s="31">
        <f t="shared" si="232"/>
        <v>0</v>
      </c>
      <c r="Z1081" s="31">
        <f t="shared" si="232"/>
        <v>0</v>
      </c>
      <c r="AA1081" s="31">
        <f t="shared" si="232"/>
        <v>0</v>
      </c>
      <c r="AB1081" s="31">
        <f t="shared" si="232"/>
        <v>0</v>
      </c>
      <c r="AC1081" s="31">
        <f t="shared" si="232"/>
        <v>124977.68</v>
      </c>
      <c r="AD1081" s="31">
        <f t="shared" si="232"/>
        <v>300000</v>
      </c>
      <c r="AE1081" s="31">
        <f t="shared" si="232"/>
        <v>0</v>
      </c>
      <c r="AF1081" s="72" t="s">
        <v>776</v>
      </c>
      <c r="AG1081" s="72" t="s">
        <v>776</v>
      </c>
      <c r="AH1081" s="89" t="s">
        <v>776</v>
      </c>
      <c r="AT1081" s="20" t="e">
        <f t="shared" si="230"/>
        <v>#N/A</v>
      </c>
      <c r="BZ1081" s="71">
        <v>8756823</v>
      </c>
    </row>
    <row r="1082" spans="1:78" ht="61.5" x14ac:dyDescent="0.85">
      <c r="A1082" s="20">
        <v>1</v>
      </c>
      <c r="B1082" s="66">
        <f>SUBTOTAL(103,$A$948:A1082)</f>
        <v>127</v>
      </c>
      <c r="C1082" s="24" t="s">
        <v>673</v>
      </c>
      <c r="D1082" s="31">
        <f>E1082+F1082+G1082+H1082+I1082+J1082+L1082+N1082+P1082+R1082+T1082+U1082+V1082+W1082+X1082+Y1082+Z1082+AA1082+AB1082+AC1082+AD1082+AE1082</f>
        <v>4146680</v>
      </c>
      <c r="E1082" s="38">
        <v>0</v>
      </c>
      <c r="F1082" s="38">
        <v>0</v>
      </c>
      <c r="G1082" s="38">
        <v>0</v>
      </c>
      <c r="H1082" s="38">
        <v>0</v>
      </c>
      <c r="I1082" s="38">
        <v>0</v>
      </c>
      <c r="J1082" s="38">
        <v>0</v>
      </c>
      <c r="K1082" s="86">
        <v>0</v>
      </c>
      <c r="L1082" s="38">
        <v>0</v>
      </c>
      <c r="M1082" s="31">
        <v>830</v>
      </c>
      <c r="N1082" s="31">
        <v>3937615.76</v>
      </c>
      <c r="O1082" s="31">
        <v>0</v>
      </c>
      <c r="P1082" s="31">
        <v>0</v>
      </c>
      <c r="Q1082" s="31">
        <v>0</v>
      </c>
      <c r="R1082" s="31">
        <v>0</v>
      </c>
      <c r="S1082" s="31">
        <v>0</v>
      </c>
      <c r="T1082" s="31">
        <v>0</v>
      </c>
      <c r="U1082" s="31">
        <v>0</v>
      </c>
      <c r="V1082" s="31">
        <v>0</v>
      </c>
      <c r="W1082" s="31">
        <v>0</v>
      </c>
      <c r="X1082" s="31">
        <v>0</v>
      </c>
      <c r="Y1082" s="31">
        <v>0</v>
      </c>
      <c r="Z1082" s="31">
        <v>0</v>
      </c>
      <c r="AA1082" s="31">
        <v>0</v>
      </c>
      <c r="AB1082" s="31">
        <v>0</v>
      </c>
      <c r="AC1082" s="31">
        <f>ROUND(N1082*1.5%,2)</f>
        <v>59064.24</v>
      </c>
      <c r="AD1082" s="31">
        <v>150000</v>
      </c>
      <c r="AE1082" s="31">
        <v>0</v>
      </c>
      <c r="AF1082" s="34">
        <v>2022</v>
      </c>
      <c r="AG1082" s="34">
        <v>2022</v>
      </c>
      <c r="AH1082" s="35">
        <v>2022</v>
      </c>
      <c r="AT1082" s="20" t="e">
        <f t="shared" si="230"/>
        <v>#N/A</v>
      </c>
      <c r="BZ1082" s="71"/>
    </row>
    <row r="1083" spans="1:78" ht="61.5" x14ac:dyDescent="0.85">
      <c r="A1083" s="20">
        <v>1</v>
      </c>
      <c r="B1083" s="66">
        <f>SUBTOTAL(103,$A$948:A1083)</f>
        <v>128</v>
      </c>
      <c r="C1083" s="24" t="s">
        <v>676</v>
      </c>
      <c r="D1083" s="31">
        <f>E1083+F1083+G1083+H1083+I1083+J1083+L1083+N1083+P1083+R1083+T1083+U1083+V1083+W1083+X1083+Y1083+Z1083+AA1083+AB1083+AC1083+AD1083+AE1083</f>
        <v>4610143</v>
      </c>
      <c r="E1083" s="36">
        <v>0</v>
      </c>
      <c r="F1083" s="36">
        <v>0</v>
      </c>
      <c r="G1083" s="36">
        <v>0</v>
      </c>
      <c r="H1083" s="36">
        <v>0</v>
      </c>
      <c r="I1083" s="36">
        <v>0</v>
      </c>
      <c r="J1083" s="36">
        <v>0</v>
      </c>
      <c r="K1083" s="33">
        <v>0</v>
      </c>
      <c r="L1083" s="31">
        <v>0</v>
      </c>
      <c r="M1083" s="31">
        <v>883</v>
      </c>
      <c r="N1083" s="31">
        <v>4394229.5599999996</v>
      </c>
      <c r="O1083" s="31">
        <v>0</v>
      </c>
      <c r="P1083" s="31">
        <v>0</v>
      </c>
      <c r="Q1083" s="31">
        <v>0</v>
      </c>
      <c r="R1083" s="31">
        <v>0</v>
      </c>
      <c r="S1083" s="31">
        <v>0</v>
      </c>
      <c r="T1083" s="31">
        <v>0</v>
      </c>
      <c r="U1083" s="31">
        <v>0</v>
      </c>
      <c r="V1083" s="31">
        <v>0</v>
      </c>
      <c r="W1083" s="31">
        <v>0</v>
      </c>
      <c r="X1083" s="31">
        <v>0</v>
      </c>
      <c r="Y1083" s="31">
        <v>0</v>
      </c>
      <c r="Z1083" s="31">
        <v>0</v>
      </c>
      <c r="AA1083" s="31">
        <v>0</v>
      </c>
      <c r="AB1083" s="31">
        <v>0</v>
      </c>
      <c r="AC1083" s="31">
        <f>ROUND(N1083*1.5%,2)</f>
        <v>65913.440000000002</v>
      </c>
      <c r="AD1083" s="31">
        <v>150000</v>
      </c>
      <c r="AE1083" s="31">
        <v>0</v>
      </c>
      <c r="AF1083" s="34">
        <v>2022</v>
      </c>
      <c r="AG1083" s="34">
        <v>2022</v>
      </c>
      <c r="AH1083" s="35">
        <v>2022</v>
      </c>
      <c r="AT1083" s="20" t="e">
        <f t="shared" si="230"/>
        <v>#N/A</v>
      </c>
      <c r="BZ1083" s="71"/>
    </row>
    <row r="1084" spans="1:78" ht="61.5" x14ac:dyDescent="0.85">
      <c r="B1084" s="24" t="s">
        <v>844</v>
      </c>
      <c r="C1084" s="166"/>
      <c r="D1084" s="31">
        <f>D1085</f>
        <v>4369866.08</v>
      </c>
      <c r="E1084" s="31">
        <f t="shared" ref="E1084:AE1084" si="233">E1085</f>
        <v>0</v>
      </c>
      <c r="F1084" s="31">
        <f t="shared" si="233"/>
        <v>0</v>
      </c>
      <c r="G1084" s="31">
        <f t="shared" si="233"/>
        <v>0</v>
      </c>
      <c r="H1084" s="31">
        <f t="shared" si="233"/>
        <v>0</v>
      </c>
      <c r="I1084" s="31">
        <f t="shared" si="233"/>
        <v>0</v>
      </c>
      <c r="J1084" s="31">
        <f t="shared" si="233"/>
        <v>0</v>
      </c>
      <c r="K1084" s="33">
        <f t="shared" si="233"/>
        <v>0</v>
      </c>
      <c r="L1084" s="31">
        <f t="shared" si="233"/>
        <v>0</v>
      </c>
      <c r="M1084" s="31">
        <f t="shared" si="233"/>
        <v>1203</v>
      </c>
      <c r="N1084" s="31">
        <f t="shared" si="233"/>
        <v>4127946.88</v>
      </c>
      <c r="O1084" s="31">
        <f t="shared" si="233"/>
        <v>0</v>
      </c>
      <c r="P1084" s="31">
        <f t="shared" si="233"/>
        <v>0</v>
      </c>
      <c r="Q1084" s="31">
        <f t="shared" si="233"/>
        <v>0</v>
      </c>
      <c r="R1084" s="31">
        <f t="shared" si="233"/>
        <v>0</v>
      </c>
      <c r="S1084" s="31">
        <f t="shared" si="233"/>
        <v>0</v>
      </c>
      <c r="T1084" s="31">
        <f t="shared" si="233"/>
        <v>0</v>
      </c>
      <c r="U1084" s="31">
        <f t="shared" si="233"/>
        <v>0</v>
      </c>
      <c r="V1084" s="31">
        <f t="shared" si="233"/>
        <v>0</v>
      </c>
      <c r="W1084" s="31">
        <f t="shared" si="233"/>
        <v>0</v>
      </c>
      <c r="X1084" s="31">
        <f t="shared" si="233"/>
        <v>0</v>
      </c>
      <c r="Y1084" s="31">
        <f t="shared" si="233"/>
        <v>0</v>
      </c>
      <c r="Z1084" s="31">
        <f t="shared" si="233"/>
        <v>0</v>
      </c>
      <c r="AA1084" s="31">
        <f t="shared" si="233"/>
        <v>0</v>
      </c>
      <c r="AB1084" s="31">
        <f t="shared" si="233"/>
        <v>0</v>
      </c>
      <c r="AC1084" s="31">
        <f t="shared" si="233"/>
        <v>61919.199999999997</v>
      </c>
      <c r="AD1084" s="31">
        <f t="shared" si="233"/>
        <v>180000</v>
      </c>
      <c r="AE1084" s="31">
        <f t="shared" si="233"/>
        <v>0</v>
      </c>
      <c r="AF1084" s="72" t="s">
        <v>776</v>
      </c>
      <c r="AG1084" s="72" t="s">
        <v>776</v>
      </c>
      <c r="AH1084" s="89" t="s">
        <v>776</v>
      </c>
      <c r="AT1084" s="20" t="e">
        <f t="shared" si="230"/>
        <v>#N/A</v>
      </c>
      <c r="BZ1084" s="71">
        <v>4369866.08</v>
      </c>
    </row>
    <row r="1085" spans="1:78" ht="61.5" x14ac:dyDescent="0.85">
      <c r="A1085" s="20">
        <v>1</v>
      </c>
      <c r="B1085" s="66">
        <f>SUBTOTAL(103,$A$948:A1085)</f>
        <v>129</v>
      </c>
      <c r="C1085" s="24" t="s">
        <v>697</v>
      </c>
      <c r="D1085" s="31">
        <f>E1085+F1085+G1085+H1085+I1085+J1085+L1085+N1085+P1085+R1085+T1085+U1085+V1085+W1085+X1085+Y1085+Z1085+AA1085+AB1085+AC1085+AD1085+AE1085</f>
        <v>4369866.08</v>
      </c>
      <c r="E1085" s="31">
        <v>0</v>
      </c>
      <c r="F1085" s="31">
        <v>0</v>
      </c>
      <c r="G1085" s="31">
        <v>0</v>
      </c>
      <c r="H1085" s="31">
        <v>0</v>
      </c>
      <c r="I1085" s="31">
        <v>0</v>
      </c>
      <c r="J1085" s="31">
        <v>0</v>
      </c>
      <c r="K1085" s="33">
        <v>0</v>
      </c>
      <c r="L1085" s="31">
        <v>0</v>
      </c>
      <c r="M1085" s="31">
        <v>1203</v>
      </c>
      <c r="N1085" s="31">
        <v>4127946.88</v>
      </c>
      <c r="O1085" s="31">
        <v>0</v>
      </c>
      <c r="P1085" s="31">
        <v>0</v>
      </c>
      <c r="Q1085" s="31">
        <v>0</v>
      </c>
      <c r="R1085" s="31">
        <v>0</v>
      </c>
      <c r="S1085" s="31">
        <v>0</v>
      </c>
      <c r="T1085" s="31">
        <v>0</v>
      </c>
      <c r="U1085" s="31">
        <v>0</v>
      </c>
      <c r="V1085" s="31">
        <v>0</v>
      </c>
      <c r="W1085" s="31">
        <v>0</v>
      </c>
      <c r="X1085" s="31">
        <v>0</v>
      </c>
      <c r="Y1085" s="31">
        <v>0</v>
      </c>
      <c r="Z1085" s="31">
        <v>0</v>
      </c>
      <c r="AA1085" s="31">
        <v>0</v>
      </c>
      <c r="AB1085" s="31">
        <v>0</v>
      </c>
      <c r="AC1085" s="31">
        <f>ROUND(N1085*1.5%,2)</f>
        <v>61919.199999999997</v>
      </c>
      <c r="AD1085" s="31">
        <v>180000</v>
      </c>
      <c r="AE1085" s="31">
        <v>0</v>
      </c>
      <c r="AF1085" s="34">
        <v>2022</v>
      </c>
      <c r="AG1085" s="34">
        <v>2022</v>
      </c>
      <c r="AH1085" s="35">
        <v>2022</v>
      </c>
      <c r="AT1085" s="20" t="e">
        <f t="shared" si="230"/>
        <v>#N/A</v>
      </c>
      <c r="BZ1085" s="71"/>
    </row>
    <row r="1086" spans="1:78" ht="61.5" x14ac:dyDescent="0.85">
      <c r="B1086" s="24" t="s">
        <v>845</v>
      </c>
      <c r="C1086" s="24"/>
      <c r="D1086" s="31">
        <f>D1087</f>
        <v>2936950.21</v>
      </c>
      <c r="E1086" s="31">
        <f t="shared" ref="E1086:AE1086" si="234">E1087</f>
        <v>0</v>
      </c>
      <c r="F1086" s="31">
        <f t="shared" si="234"/>
        <v>0</v>
      </c>
      <c r="G1086" s="31">
        <f t="shared" si="234"/>
        <v>0</v>
      </c>
      <c r="H1086" s="31">
        <f t="shared" si="234"/>
        <v>0</v>
      </c>
      <c r="I1086" s="31">
        <f t="shared" si="234"/>
        <v>0</v>
      </c>
      <c r="J1086" s="31">
        <f t="shared" si="234"/>
        <v>0</v>
      </c>
      <c r="K1086" s="33">
        <f t="shared" si="234"/>
        <v>0</v>
      </c>
      <c r="L1086" s="31">
        <f t="shared" si="234"/>
        <v>0</v>
      </c>
      <c r="M1086" s="31">
        <f t="shared" si="234"/>
        <v>0</v>
      </c>
      <c r="N1086" s="31">
        <f t="shared" si="234"/>
        <v>0</v>
      </c>
      <c r="O1086" s="31">
        <f t="shared" si="234"/>
        <v>0</v>
      </c>
      <c r="P1086" s="31">
        <f t="shared" si="234"/>
        <v>0</v>
      </c>
      <c r="Q1086" s="31">
        <f t="shared" si="234"/>
        <v>787</v>
      </c>
      <c r="R1086" s="31">
        <f t="shared" si="234"/>
        <v>2765468.19</v>
      </c>
      <c r="S1086" s="31">
        <f t="shared" si="234"/>
        <v>0</v>
      </c>
      <c r="T1086" s="31">
        <f t="shared" si="234"/>
        <v>0</v>
      </c>
      <c r="U1086" s="31">
        <f t="shared" si="234"/>
        <v>0</v>
      </c>
      <c r="V1086" s="31">
        <f t="shared" si="234"/>
        <v>0</v>
      </c>
      <c r="W1086" s="31">
        <f t="shared" si="234"/>
        <v>0</v>
      </c>
      <c r="X1086" s="31">
        <f t="shared" si="234"/>
        <v>0</v>
      </c>
      <c r="Y1086" s="31">
        <f t="shared" si="234"/>
        <v>0</v>
      </c>
      <c r="Z1086" s="31">
        <f t="shared" si="234"/>
        <v>0</v>
      </c>
      <c r="AA1086" s="31">
        <f t="shared" si="234"/>
        <v>0</v>
      </c>
      <c r="AB1086" s="31">
        <f t="shared" si="234"/>
        <v>0</v>
      </c>
      <c r="AC1086" s="31">
        <f t="shared" si="234"/>
        <v>41482.019999999997</v>
      </c>
      <c r="AD1086" s="31">
        <f t="shared" si="234"/>
        <v>130000</v>
      </c>
      <c r="AE1086" s="31">
        <f t="shared" si="234"/>
        <v>0</v>
      </c>
      <c r="AF1086" s="72" t="s">
        <v>776</v>
      </c>
      <c r="AG1086" s="72" t="s">
        <v>776</v>
      </c>
      <c r="AH1086" s="89" t="s">
        <v>776</v>
      </c>
      <c r="AT1086" s="20" t="e">
        <f t="shared" si="230"/>
        <v>#N/A</v>
      </c>
      <c r="BZ1086" s="71">
        <v>2936950.21</v>
      </c>
    </row>
    <row r="1087" spans="1:78" ht="61.5" x14ac:dyDescent="0.85">
      <c r="A1087" s="20">
        <v>1</v>
      </c>
      <c r="B1087" s="66">
        <f>SUBTOTAL(103,$A$948:A1087)</f>
        <v>130</v>
      </c>
      <c r="C1087" s="24" t="s">
        <v>712</v>
      </c>
      <c r="D1087" s="31">
        <f>E1087+F1087+G1087+H1087+I1087+J1087+L1087+N1087+P1087+R1087+T1087+U1087+V1087+W1087+X1087+Y1087+Z1087+AA1087+AB1087+AC1087+AD1087+AE1087</f>
        <v>2936950.21</v>
      </c>
      <c r="E1087" s="31">
        <v>0</v>
      </c>
      <c r="F1087" s="31">
        <v>0</v>
      </c>
      <c r="G1087" s="31">
        <v>0</v>
      </c>
      <c r="H1087" s="31">
        <v>0</v>
      </c>
      <c r="I1087" s="31">
        <v>0</v>
      </c>
      <c r="J1087" s="31">
        <v>0</v>
      </c>
      <c r="K1087" s="33">
        <v>0</v>
      </c>
      <c r="L1087" s="31">
        <v>0</v>
      </c>
      <c r="M1087" s="31">
        <v>0</v>
      </c>
      <c r="N1087" s="31">
        <v>0</v>
      </c>
      <c r="O1087" s="31">
        <v>0</v>
      </c>
      <c r="P1087" s="31">
        <v>0</v>
      </c>
      <c r="Q1087" s="31">
        <v>787</v>
      </c>
      <c r="R1087" s="31">
        <v>2765468.19</v>
      </c>
      <c r="S1087" s="31">
        <v>0</v>
      </c>
      <c r="T1087" s="31">
        <v>0</v>
      </c>
      <c r="U1087" s="31">
        <v>0</v>
      </c>
      <c r="V1087" s="31">
        <v>0</v>
      </c>
      <c r="W1087" s="31">
        <v>0</v>
      </c>
      <c r="X1087" s="31">
        <v>0</v>
      </c>
      <c r="Y1087" s="31">
        <v>0</v>
      </c>
      <c r="Z1087" s="31">
        <v>0</v>
      </c>
      <c r="AA1087" s="31">
        <v>0</v>
      </c>
      <c r="AB1087" s="31">
        <v>0</v>
      </c>
      <c r="AC1087" s="31">
        <f>ROUND(R1087*1.5%,2)</f>
        <v>41482.019999999997</v>
      </c>
      <c r="AD1087" s="31">
        <v>130000</v>
      </c>
      <c r="AE1087" s="31">
        <v>0</v>
      </c>
      <c r="AF1087" s="34">
        <v>2022</v>
      </c>
      <c r="AG1087" s="34">
        <v>2022</v>
      </c>
      <c r="AH1087" s="35">
        <v>2022</v>
      </c>
      <c r="AT1087" s="20" t="e">
        <f t="shared" si="230"/>
        <v>#N/A</v>
      </c>
      <c r="BZ1087" s="71"/>
    </row>
    <row r="1088" spans="1:78" ht="61.5" x14ac:dyDescent="0.85">
      <c r="B1088" s="24" t="s">
        <v>846</v>
      </c>
      <c r="C1088" s="24"/>
      <c r="D1088" s="31">
        <f>D1089+D1090</f>
        <v>2773728.46</v>
      </c>
      <c r="E1088" s="31">
        <f t="shared" ref="E1088:AE1088" si="235">E1089+E1090</f>
        <v>0</v>
      </c>
      <c r="F1088" s="31">
        <f t="shared" si="235"/>
        <v>0</v>
      </c>
      <c r="G1088" s="31">
        <f t="shared" si="235"/>
        <v>0</v>
      </c>
      <c r="H1088" s="31">
        <f t="shared" si="235"/>
        <v>0</v>
      </c>
      <c r="I1088" s="31">
        <f t="shared" si="235"/>
        <v>191760.14</v>
      </c>
      <c r="J1088" s="31">
        <f t="shared" si="235"/>
        <v>0</v>
      </c>
      <c r="K1088" s="33">
        <f t="shared" si="235"/>
        <v>0</v>
      </c>
      <c r="L1088" s="31">
        <f t="shared" si="235"/>
        <v>0</v>
      </c>
      <c r="M1088" s="31">
        <f t="shared" si="235"/>
        <v>628</v>
      </c>
      <c r="N1088" s="31">
        <f t="shared" si="235"/>
        <v>2353785.14</v>
      </c>
      <c r="O1088" s="31">
        <f t="shared" si="235"/>
        <v>0</v>
      </c>
      <c r="P1088" s="31">
        <f t="shared" si="235"/>
        <v>0</v>
      </c>
      <c r="Q1088" s="31">
        <f t="shared" si="235"/>
        <v>0</v>
      </c>
      <c r="R1088" s="31">
        <f t="shared" si="235"/>
        <v>0</v>
      </c>
      <c r="S1088" s="31">
        <f t="shared" si="235"/>
        <v>0</v>
      </c>
      <c r="T1088" s="31">
        <f t="shared" si="235"/>
        <v>0</v>
      </c>
      <c r="U1088" s="31">
        <f t="shared" si="235"/>
        <v>0</v>
      </c>
      <c r="V1088" s="31">
        <f t="shared" si="235"/>
        <v>0</v>
      </c>
      <c r="W1088" s="31">
        <f t="shared" si="235"/>
        <v>0</v>
      </c>
      <c r="X1088" s="31">
        <f t="shared" si="235"/>
        <v>0</v>
      </c>
      <c r="Y1088" s="31">
        <f t="shared" si="235"/>
        <v>0</v>
      </c>
      <c r="Z1088" s="31">
        <f t="shared" si="235"/>
        <v>0</v>
      </c>
      <c r="AA1088" s="31">
        <f t="shared" si="235"/>
        <v>0</v>
      </c>
      <c r="AB1088" s="31">
        <f t="shared" si="235"/>
        <v>0</v>
      </c>
      <c r="AC1088" s="31">
        <f t="shared" si="235"/>
        <v>38183.18</v>
      </c>
      <c r="AD1088" s="31">
        <f t="shared" si="235"/>
        <v>190000</v>
      </c>
      <c r="AE1088" s="31">
        <f t="shared" si="235"/>
        <v>0</v>
      </c>
      <c r="AF1088" s="72" t="s">
        <v>776</v>
      </c>
      <c r="AG1088" s="72" t="s">
        <v>776</v>
      </c>
      <c r="AH1088" s="89" t="s">
        <v>776</v>
      </c>
      <c r="AT1088" s="20" t="e">
        <f t="shared" si="230"/>
        <v>#N/A</v>
      </c>
      <c r="BZ1088" s="71">
        <v>2773728.46</v>
      </c>
    </row>
    <row r="1089" spans="1:78" ht="61.5" x14ac:dyDescent="0.85">
      <c r="A1089" s="20">
        <v>1</v>
      </c>
      <c r="B1089" s="66">
        <f>SUBTOTAL(103,$A$948:A1089)</f>
        <v>131</v>
      </c>
      <c r="C1089" s="24" t="s">
        <v>704</v>
      </c>
      <c r="D1089" s="31">
        <f>E1089+F1089+G1089+H1089+I1089+J1089+L1089+N1089+P1089+R1089+T1089+U1089+V1089+W1089+X1089+Y1089+Z1089+AA1089+AB1089+AC1089+AD1089+AE1089</f>
        <v>2539091.92</v>
      </c>
      <c r="E1089" s="31">
        <v>0</v>
      </c>
      <c r="F1089" s="31">
        <v>0</v>
      </c>
      <c r="G1089" s="31">
        <v>0</v>
      </c>
      <c r="H1089" s="31">
        <v>0</v>
      </c>
      <c r="I1089" s="31">
        <v>0</v>
      </c>
      <c r="J1089" s="31">
        <v>0</v>
      </c>
      <c r="K1089" s="33">
        <v>0</v>
      </c>
      <c r="L1089" s="31">
        <v>0</v>
      </c>
      <c r="M1089" s="31">
        <v>628</v>
      </c>
      <c r="N1089" s="31">
        <v>2353785.14</v>
      </c>
      <c r="O1089" s="31">
        <v>0</v>
      </c>
      <c r="P1089" s="31">
        <v>0</v>
      </c>
      <c r="Q1089" s="31">
        <v>0</v>
      </c>
      <c r="R1089" s="31">
        <v>0</v>
      </c>
      <c r="S1089" s="31">
        <v>0</v>
      </c>
      <c r="T1089" s="31">
        <v>0</v>
      </c>
      <c r="U1089" s="31">
        <v>0</v>
      </c>
      <c r="V1089" s="31">
        <v>0</v>
      </c>
      <c r="W1089" s="31">
        <v>0</v>
      </c>
      <c r="X1089" s="31">
        <v>0</v>
      </c>
      <c r="Y1089" s="31">
        <v>0</v>
      </c>
      <c r="Z1089" s="31">
        <v>0</v>
      </c>
      <c r="AA1089" s="31">
        <v>0</v>
      </c>
      <c r="AB1089" s="31">
        <v>0</v>
      </c>
      <c r="AC1089" s="31">
        <f>ROUND(N1089*1.5%,2)</f>
        <v>35306.78</v>
      </c>
      <c r="AD1089" s="31">
        <v>150000</v>
      </c>
      <c r="AE1089" s="31">
        <v>0</v>
      </c>
      <c r="AF1089" s="34">
        <v>2022</v>
      </c>
      <c r="AG1089" s="34">
        <v>2022</v>
      </c>
      <c r="AH1089" s="35">
        <v>2022</v>
      </c>
      <c r="AT1089" s="20" t="e">
        <f t="shared" si="230"/>
        <v>#N/A</v>
      </c>
      <c r="BZ1089" s="71"/>
    </row>
    <row r="1090" spans="1:78" ht="61.5" x14ac:dyDescent="0.85">
      <c r="A1090" s="20">
        <v>1</v>
      </c>
      <c r="B1090" s="66">
        <f>SUBTOTAL(103,$A$948:A1090)</f>
        <v>132</v>
      </c>
      <c r="C1090" s="24" t="s">
        <v>715</v>
      </c>
      <c r="D1090" s="31">
        <f>E1090+F1090+G1090+H1090+I1090+J1090+L1090+N1090+P1090+R1090+T1090+U1090+V1090+W1090+X1090+Y1090+Z1090+AA1090+AB1090+AC1090+AD1090+AE1090</f>
        <v>234636.54</v>
      </c>
      <c r="E1090" s="31">
        <v>0</v>
      </c>
      <c r="F1090" s="31">
        <v>0</v>
      </c>
      <c r="G1090" s="31">
        <v>0</v>
      </c>
      <c r="H1090" s="31">
        <v>0</v>
      </c>
      <c r="I1090" s="31">
        <v>191760.14</v>
      </c>
      <c r="J1090" s="31">
        <v>0</v>
      </c>
      <c r="K1090" s="33">
        <v>0</v>
      </c>
      <c r="L1090" s="31">
        <v>0</v>
      </c>
      <c r="M1090" s="31">
        <v>0</v>
      </c>
      <c r="N1090" s="31">
        <v>0</v>
      </c>
      <c r="O1090" s="31">
        <v>0</v>
      </c>
      <c r="P1090" s="31">
        <v>0</v>
      </c>
      <c r="Q1090" s="31">
        <v>0</v>
      </c>
      <c r="R1090" s="31">
        <v>0</v>
      </c>
      <c r="S1090" s="31">
        <v>0</v>
      </c>
      <c r="T1090" s="31">
        <v>0</v>
      </c>
      <c r="U1090" s="31">
        <v>0</v>
      </c>
      <c r="V1090" s="31">
        <v>0</v>
      </c>
      <c r="W1090" s="31">
        <v>0</v>
      </c>
      <c r="X1090" s="31">
        <v>0</v>
      </c>
      <c r="Y1090" s="31">
        <v>0</v>
      </c>
      <c r="Z1090" s="31">
        <v>0</v>
      </c>
      <c r="AA1090" s="31">
        <v>0</v>
      </c>
      <c r="AB1090" s="31">
        <v>0</v>
      </c>
      <c r="AC1090" s="31">
        <f>ROUND((E1090+F1090+G1090+H1090+I1090+J1090)*1.5%,2)</f>
        <v>2876.4</v>
      </c>
      <c r="AD1090" s="31">
        <v>40000</v>
      </c>
      <c r="AE1090" s="31">
        <v>0</v>
      </c>
      <c r="AF1090" s="34">
        <v>2022</v>
      </c>
      <c r="AG1090" s="34">
        <v>2022</v>
      </c>
      <c r="AH1090" s="35">
        <v>2022</v>
      </c>
      <c r="AT1090" s="20" t="e">
        <f t="shared" si="230"/>
        <v>#N/A</v>
      </c>
      <c r="BZ1090" s="71"/>
    </row>
    <row r="1091" spans="1:78" ht="61.5" x14ac:dyDescent="0.85">
      <c r="B1091" s="24" t="s">
        <v>910</v>
      </c>
      <c r="C1091" s="24"/>
      <c r="D1091" s="31">
        <f>D1092</f>
        <v>2158336.3499999996</v>
      </c>
      <c r="E1091" s="31">
        <f t="shared" ref="E1091:AE1091" si="236">E1092</f>
        <v>0</v>
      </c>
      <c r="F1091" s="31">
        <f t="shared" si="236"/>
        <v>0</v>
      </c>
      <c r="G1091" s="31">
        <f t="shared" si="236"/>
        <v>0</v>
      </c>
      <c r="H1091" s="31">
        <f t="shared" si="236"/>
        <v>0</v>
      </c>
      <c r="I1091" s="31">
        <f t="shared" si="236"/>
        <v>0</v>
      </c>
      <c r="J1091" s="31">
        <f t="shared" si="236"/>
        <v>0</v>
      </c>
      <c r="K1091" s="33">
        <f t="shared" si="236"/>
        <v>0</v>
      </c>
      <c r="L1091" s="31">
        <f t="shared" si="236"/>
        <v>0</v>
      </c>
      <c r="M1091" s="31">
        <f t="shared" si="236"/>
        <v>393</v>
      </c>
      <c r="N1091" s="31">
        <f t="shared" si="236"/>
        <v>2008213.15</v>
      </c>
      <c r="O1091" s="31">
        <f t="shared" si="236"/>
        <v>0</v>
      </c>
      <c r="P1091" s="31">
        <f t="shared" si="236"/>
        <v>0</v>
      </c>
      <c r="Q1091" s="31">
        <f t="shared" si="236"/>
        <v>0</v>
      </c>
      <c r="R1091" s="31">
        <f t="shared" si="236"/>
        <v>0</v>
      </c>
      <c r="S1091" s="31">
        <f t="shared" si="236"/>
        <v>0</v>
      </c>
      <c r="T1091" s="31">
        <f t="shared" si="236"/>
        <v>0</v>
      </c>
      <c r="U1091" s="31">
        <f t="shared" si="236"/>
        <v>0</v>
      </c>
      <c r="V1091" s="31">
        <f t="shared" si="236"/>
        <v>0</v>
      </c>
      <c r="W1091" s="31">
        <f t="shared" si="236"/>
        <v>0</v>
      </c>
      <c r="X1091" s="31">
        <f t="shared" si="236"/>
        <v>0</v>
      </c>
      <c r="Y1091" s="31">
        <f t="shared" si="236"/>
        <v>0</v>
      </c>
      <c r="Z1091" s="31">
        <f t="shared" si="236"/>
        <v>0</v>
      </c>
      <c r="AA1091" s="31">
        <f t="shared" si="236"/>
        <v>0</v>
      </c>
      <c r="AB1091" s="31">
        <f t="shared" si="236"/>
        <v>0</v>
      </c>
      <c r="AC1091" s="31">
        <f t="shared" si="236"/>
        <v>30123.200000000001</v>
      </c>
      <c r="AD1091" s="31">
        <f t="shared" si="236"/>
        <v>120000</v>
      </c>
      <c r="AE1091" s="31">
        <f t="shared" si="236"/>
        <v>0</v>
      </c>
      <c r="AF1091" s="72" t="s">
        <v>776</v>
      </c>
      <c r="AG1091" s="72" t="s">
        <v>776</v>
      </c>
      <c r="AH1091" s="89" t="s">
        <v>776</v>
      </c>
      <c r="AT1091" s="20" t="e">
        <f t="shared" si="230"/>
        <v>#N/A</v>
      </c>
      <c r="BZ1091" s="71">
        <v>2158336.3499999996</v>
      </c>
    </row>
    <row r="1092" spans="1:78" ht="61.5" x14ac:dyDescent="0.85">
      <c r="A1092" s="20">
        <v>1</v>
      </c>
      <c r="B1092" s="66">
        <f>SUBTOTAL(103,$A$948:A1092)</f>
        <v>133</v>
      </c>
      <c r="C1092" s="24" t="s">
        <v>696</v>
      </c>
      <c r="D1092" s="31">
        <f>E1092+F1092+G1092+H1092+I1092+J1092+L1092+N1092+P1092+R1092+T1092+U1092+V1092+W1092+X1092+Y1092+Z1092+AA1092+AB1092+AC1092+AD1092+AE1092</f>
        <v>2158336.3499999996</v>
      </c>
      <c r="E1092" s="31">
        <v>0</v>
      </c>
      <c r="F1092" s="31">
        <v>0</v>
      </c>
      <c r="G1092" s="31">
        <v>0</v>
      </c>
      <c r="H1092" s="31">
        <v>0</v>
      </c>
      <c r="I1092" s="31">
        <v>0</v>
      </c>
      <c r="J1092" s="31">
        <v>0</v>
      </c>
      <c r="K1092" s="33">
        <v>0</v>
      </c>
      <c r="L1092" s="31">
        <v>0</v>
      </c>
      <c r="M1092" s="31">
        <v>393</v>
      </c>
      <c r="N1092" s="31">
        <v>2008213.15</v>
      </c>
      <c r="O1092" s="31">
        <v>0</v>
      </c>
      <c r="P1092" s="31">
        <v>0</v>
      </c>
      <c r="Q1092" s="31">
        <v>0</v>
      </c>
      <c r="R1092" s="31">
        <v>0</v>
      </c>
      <c r="S1092" s="31">
        <v>0</v>
      </c>
      <c r="T1092" s="31">
        <v>0</v>
      </c>
      <c r="U1092" s="31">
        <v>0</v>
      </c>
      <c r="V1092" s="31">
        <v>0</v>
      </c>
      <c r="W1092" s="31">
        <v>0</v>
      </c>
      <c r="X1092" s="31">
        <v>0</v>
      </c>
      <c r="Y1092" s="31">
        <v>0</v>
      </c>
      <c r="Z1092" s="31">
        <v>0</v>
      </c>
      <c r="AA1092" s="31">
        <v>0</v>
      </c>
      <c r="AB1092" s="31">
        <v>0</v>
      </c>
      <c r="AC1092" s="31">
        <f>ROUND(N1092*1.5%,2)</f>
        <v>30123.200000000001</v>
      </c>
      <c r="AD1092" s="31">
        <v>120000</v>
      </c>
      <c r="AE1092" s="31">
        <v>0</v>
      </c>
      <c r="AF1092" s="34">
        <v>2022</v>
      </c>
      <c r="AG1092" s="34">
        <v>2022</v>
      </c>
      <c r="AH1092" s="35">
        <v>2022</v>
      </c>
      <c r="AT1092" s="20" t="e">
        <f t="shared" si="230"/>
        <v>#N/A</v>
      </c>
      <c r="BZ1092" s="71"/>
    </row>
    <row r="1093" spans="1:78" ht="61.5" x14ac:dyDescent="0.85">
      <c r="B1093" s="24" t="s">
        <v>847</v>
      </c>
      <c r="C1093" s="24"/>
      <c r="D1093" s="31">
        <f>D1094</f>
        <v>2000000</v>
      </c>
      <c r="E1093" s="31">
        <f t="shared" ref="E1093:AE1093" si="237">E1094</f>
        <v>0</v>
      </c>
      <c r="F1093" s="31">
        <f t="shared" si="237"/>
        <v>0</v>
      </c>
      <c r="G1093" s="31">
        <f t="shared" si="237"/>
        <v>0</v>
      </c>
      <c r="H1093" s="31">
        <f t="shared" si="237"/>
        <v>0</v>
      </c>
      <c r="I1093" s="31">
        <f t="shared" si="237"/>
        <v>0</v>
      </c>
      <c r="J1093" s="31">
        <f t="shared" si="237"/>
        <v>0</v>
      </c>
      <c r="K1093" s="33">
        <f t="shared" si="237"/>
        <v>0</v>
      </c>
      <c r="L1093" s="31">
        <f t="shared" si="237"/>
        <v>0</v>
      </c>
      <c r="M1093" s="31">
        <f t="shared" si="237"/>
        <v>674.9</v>
      </c>
      <c r="N1093" s="31">
        <f t="shared" si="237"/>
        <v>1822660.1</v>
      </c>
      <c r="O1093" s="31">
        <f t="shared" si="237"/>
        <v>0</v>
      </c>
      <c r="P1093" s="31">
        <f t="shared" si="237"/>
        <v>0</v>
      </c>
      <c r="Q1093" s="31">
        <f t="shared" si="237"/>
        <v>0</v>
      </c>
      <c r="R1093" s="31">
        <f t="shared" si="237"/>
        <v>0</v>
      </c>
      <c r="S1093" s="31">
        <f t="shared" si="237"/>
        <v>0</v>
      </c>
      <c r="T1093" s="31">
        <f t="shared" si="237"/>
        <v>0</v>
      </c>
      <c r="U1093" s="31">
        <f t="shared" si="237"/>
        <v>0</v>
      </c>
      <c r="V1093" s="31">
        <f t="shared" si="237"/>
        <v>0</v>
      </c>
      <c r="W1093" s="31">
        <f t="shared" si="237"/>
        <v>0</v>
      </c>
      <c r="X1093" s="31">
        <f t="shared" si="237"/>
        <v>0</v>
      </c>
      <c r="Y1093" s="31">
        <f t="shared" si="237"/>
        <v>0</v>
      </c>
      <c r="Z1093" s="31">
        <f t="shared" si="237"/>
        <v>0</v>
      </c>
      <c r="AA1093" s="31">
        <f t="shared" si="237"/>
        <v>0</v>
      </c>
      <c r="AB1093" s="31">
        <f t="shared" si="237"/>
        <v>0</v>
      </c>
      <c r="AC1093" s="31">
        <f t="shared" si="237"/>
        <v>27339.9</v>
      </c>
      <c r="AD1093" s="31">
        <f t="shared" si="237"/>
        <v>150000</v>
      </c>
      <c r="AE1093" s="31">
        <f t="shared" si="237"/>
        <v>0</v>
      </c>
      <c r="AF1093" s="72" t="s">
        <v>776</v>
      </c>
      <c r="AG1093" s="72" t="s">
        <v>776</v>
      </c>
      <c r="AH1093" s="89" t="s">
        <v>776</v>
      </c>
      <c r="AT1093" s="20" t="e">
        <f t="shared" si="230"/>
        <v>#N/A</v>
      </c>
      <c r="BZ1093" s="71">
        <v>2000000</v>
      </c>
    </row>
    <row r="1094" spans="1:78" ht="61.5" x14ac:dyDescent="0.85">
      <c r="A1094" s="20">
        <v>1</v>
      </c>
      <c r="B1094" s="66">
        <f>SUBTOTAL(103,$A$948:A1094)</f>
        <v>134</v>
      </c>
      <c r="C1094" s="24" t="s">
        <v>711</v>
      </c>
      <c r="D1094" s="31">
        <f>E1094+F1094+G1094+H1094+I1094+J1094+L1094+N1094+P1094+R1094+T1094+U1094+V1094+W1094+X1094+Y1094+Z1094+AA1094+AB1094+AC1094+AD1094+AE1094</f>
        <v>2000000</v>
      </c>
      <c r="E1094" s="31">
        <v>0</v>
      </c>
      <c r="F1094" s="31">
        <v>0</v>
      </c>
      <c r="G1094" s="31">
        <v>0</v>
      </c>
      <c r="H1094" s="31">
        <v>0</v>
      </c>
      <c r="I1094" s="31">
        <v>0</v>
      </c>
      <c r="J1094" s="31">
        <v>0</v>
      </c>
      <c r="K1094" s="33">
        <v>0</v>
      </c>
      <c r="L1094" s="31">
        <v>0</v>
      </c>
      <c r="M1094" s="31">
        <v>674.9</v>
      </c>
      <c r="N1094" s="31">
        <v>1822660.1</v>
      </c>
      <c r="O1094" s="31">
        <v>0</v>
      </c>
      <c r="P1094" s="31">
        <v>0</v>
      </c>
      <c r="Q1094" s="31">
        <v>0</v>
      </c>
      <c r="R1094" s="31">
        <v>0</v>
      </c>
      <c r="S1094" s="31">
        <v>0</v>
      </c>
      <c r="T1094" s="31">
        <v>0</v>
      </c>
      <c r="U1094" s="31">
        <v>0</v>
      </c>
      <c r="V1094" s="31">
        <v>0</v>
      </c>
      <c r="W1094" s="31">
        <v>0</v>
      </c>
      <c r="X1094" s="31">
        <v>0</v>
      </c>
      <c r="Y1094" s="31">
        <v>0</v>
      </c>
      <c r="Z1094" s="31">
        <v>0</v>
      </c>
      <c r="AA1094" s="31">
        <v>0</v>
      </c>
      <c r="AB1094" s="31">
        <v>0</v>
      </c>
      <c r="AC1094" s="31">
        <f>ROUND(N1094*1.5%,2)</f>
        <v>27339.9</v>
      </c>
      <c r="AD1094" s="31">
        <v>150000</v>
      </c>
      <c r="AE1094" s="31">
        <v>0</v>
      </c>
      <c r="AF1094" s="34">
        <v>2022</v>
      </c>
      <c r="AG1094" s="34">
        <v>2022</v>
      </c>
      <c r="AH1094" s="35">
        <v>2022</v>
      </c>
      <c r="AT1094" s="20" t="e">
        <f t="shared" si="230"/>
        <v>#N/A</v>
      </c>
      <c r="BZ1094" s="71"/>
    </row>
    <row r="1095" spans="1:78" ht="61.5" x14ac:dyDescent="0.85">
      <c r="B1095" s="24" t="s">
        <v>848</v>
      </c>
      <c r="C1095" s="24"/>
      <c r="D1095" s="31">
        <f>SUM(D1096:D1102)</f>
        <v>23342011.919999998</v>
      </c>
      <c r="E1095" s="31">
        <f t="shared" ref="E1095:AE1095" si="238">SUM(E1096:E1102)</f>
        <v>0</v>
      </c>
      <c r="F1095" s="31">
        <f t="shared" si="238"/>
        <v>0</v>
      </c>
      <c r="G1095" s="31">
        <f t="shared" si="238"/>
        <v>0</v>
      </c>
      <c r="H1095" s="31">
        <f t="shared" si="238"/>
        <v>0</v>
      </c>
      <c r="I1095" s="31">
        <f t="shared" si="238"/>
        <v>0</v>
      </c>
      <c r="J1095" s="31">
        <f t="shared" si="238"/>
        <v>0</v>
      </c>
      <c r="K1095" s="33">
        <f t="shared" si="238"/>
        <v>2</v>
      </c>
      <c r="L1095" s="31">
        <f t="shared" si="238"/>
        <v>4396606</v>
      </c>
      <c r="M1095" s="31">
        <f t="shared" si="238"/>
        <v>3160.6</v>
      </c>
      <c r="N1095" s="31">
        <f t="shared" si="238"/>
        <v>14844392.530000001</v>
      </c>
      <c r="O1095" s="31">
        <f t="shared" si="238"/>
        <v>0</v>
      </c>
      <c r="P1095" s="31">
        <f t="shared" si="238"/>
        <v>0</v>
      </c>
      <c r="Q1095" s="31">
        <f t="shared" si="238"/>
        <v>585.5</v>
      </c>
      <c r="R1095" s="31">
        <f t="shared" si="238"/>
        <v>2766844.83</v>
      </c>
      <c r="S1095" s="31">
        <f t="shared" si="238"/>
        <v>0</v>
      </c>
      <c r="T1095" s="31">
        <f t="shared" si="238"/>
        <v>0</v>
      </c>
      <c r="U1095" s="31">
        <f t="shared" si="238"/>
        <v>0</v>
      </c>
      <c r="V1095" s="31">
        <f t="shared" si="238"/>
        <v>0</v>
      </c>
      <c r="W1095" s="31">
        <f t="shared" si="238"/>
        <v>0</v>
      </c>
      <c r="X1095" s="31">
        <f t="shared" si="238"/>
        <v>0</v>
      </c>
      <c r="Y1095" s="31">
        <f t="shared" si="238"/>
        <v>0</v>
      </c>
      <c r="Z1095" s="31">
        <f t="shared" si="238"/>
        <v>0</v>
      </c>
      <c r="AA1095" s="31">
        <f t="shared" si="238"/>
        <v>0</v>
      </c>
      <c r="AB1095" s="31">
        <f t="shared" si="238"/>
        <v>0</v>
      </c>
      <c r="AC1095" s="31">
        <f t="shared" si="238"/>
        <v>264168.56</v>
      </c>
      <c r="AD1095" s="31">
        <f t="shared" si="238"/>
        <v>950000</v>
      </c>
      <c r="AE1095" s="31">
        <f t="shared" si="238"/>
        <v>120000</v>
      </c>
      <c r="AF1095" s="72" t="s">
        <v>776</v>
      </c>
      <c r="AG1095" s="72" t="s">
        <v>776</v>
      </c>
      <c r="AH1095" s="89" t="s">
        <v>776</v>
      </c>
      <c r="AT1095" s="20" t="e">
        <f t="shared" si="230"/>
        <v>#N/A</v>
      </c>
      <c r="BZ1095" s="71">
        <v>23342011.919999998</v>
      </c>
    </row>
    <row r="1096" spans="1:78" ht="61.5" x14ac:dyDescent="0.85">
      <c r="A1096" s="20">
        <v>1</v>
      </c>
      <c r="B1096" s="66">
        <f>SUBTOTAL(103,$A$948:A1096)</f>
        <v>135</v>
      </c>
      <c r="C1096" s="24" t="s">
        <v>683</v>
      </c>
      <c r="D1096" s="31">
        <f t="shared" ref="D1096:D1102" si="239">E1096+F1096+G1096+H1096+I1096+J1096+L1096+N1096+P1096+R1096+T1096+U1096+V1096+W1096+X1096+Y1096+Z1096+AA1096+AB1096+AC1096+AD1096+AE1096</f>
        <v>1358190.18</v>
      </c>
      <c r="E1096" s="31">
        <v>0</v>
      </c>
      <c r="F1096" s="31">
        <v>0</v>
      </c>
      <c r="G1096" s="31">
        <v>0</v>
      </c>
      <c r="H1096" s="31">
        <v>0</v>
      </c>
      <c r="I1096" s="31">
        <v>0</v>
      </c>
      <c r="J1096" s="31">
        <v>0</v>
      </c>
      <c r="K1096" s="33">
        <v>0</v>
      </c>
      <c r="L1096" s="31">
        <v>0</v>
      </c>
      <c r="M1096" s="31">
        <v>260.10000000000002</v>
      </c>
      <c r="N1096" s="31">
        <v>1219891.8</v>
      </c>
      <c r="O1096" s="31">
        <v>0</v>
      </c>
      <c r="P1096" s="31">
        <v>0</v>
      </c>
      <c r="Q1096" s="31">
        <v>0</v>
      </c>
      <c r="R1096" s="31">
        <v>0</v>
      </c>
      <c r="S1096" s="31">
        <v>0</v>
      </c>
      <c r="T1096" s="31">
        <v>0</v>
      </c>
      <c r="U1096" s="31">
        <v>0</v>
      </c>
      <c r="V1096" s="31">
        <v>0</v>
      </c>
      <c r="W1096" s="31">
        <v>0</v>
      </c>
      <c r="X1096" s="31">
        <v>0</v>
      </c>
      <c r="Y1096" s="31">
        <v>0</v>
      </c>
      <c r="Z1096" s="31">
        <v>0</v>
      </c>
      <c r="AA1096" s="31">
        <v>0</v>
      </c>
      <c r="AB1096" s="31">
        <v>0</v>
      </c>
      <c r="AC1096" s="31">
        <f>ROUND(N1096*1.5%,2)</f>
        <v>18298.38</v>
      </c>
      <c r="AD1096" s="31">
        <v>120000</v>
      </c>
      <c r="AE1096" s="31">
        <v>0</v>
      </c>
      <c r="AF1096" s="34">
        <v>2022</v>
      </c>
      <c r="AG1096" s="34">
        <v>2022</v>
      </c>
      <c r="AH1096" s="35">
        <v>2022</v>
      </c>
      <c r="AT1096" s="20" t="e">
        <f t="shared" si="230"/>
        <v>#N/A</v>
      </c>
      <c r="BZ1096" s="71"/>
    </row>
    <row r="1097" spans="1:78" ht="61.5" x14ac:dyDescent="0.85">
      <c r="A1097" s="20">
        <v>1</v>
      </c>
      <c r="B1097" s="66">
        <f>SUBTOTAL(103,$A$948:A1097)</f>
        <v>136</v>
      </c>
      <c r="C1097" s="24" t="s">
        <v>684</v>
      </c>
      <c r="D1097" s="31">
        <f t="shared" si="239"/>
        <v>3973325</v>
      </c>
      <c r="E1097" s="31">
        <v>0</v>
      </c>
      <c r="F1097" s="31">
        <v>0</v>
      </c>
      <c r="G1097" s="31">
        <v>0</v>
      </c>
      <c r="H1097" s="31">
        <v>0</v>
      </c>
      <c r="I1097" s="31">
        <v>0</v>
      </c>
      <c r="J1097" s="31">
        <v>0</v>
      </c>
      <c r="K1097" s="33">
        <v>0</v>
      </c>
      <c r="L1097" s="31">
        <v>0</v>
      </c>
      <c r="M1097" s="31">
        <v>850</v>
      </c>
      <c r="N1097" s="31">
        <v>3766822.66</v>
      </c>
      <c r="O1097" s="31">
        <v>0</v>
      </c>
      <c r="P1097" s="31">
        <v>0</v>
      </c>
      <c r="Q1097" s="31">
        <v>0</v>
      </c>
      <c r="R1097" s="31">
        <v>0</v>
      </c>
      <c r="S1097" s="31">
        <v>0</v>
      </c>
      <c r="T1097" s="31">
        <v>0</v>
      </c>
      <c r="U1097" s="31">
        <v>0</v>
      </c>
      <c r="V1097" s="31">
        <v>0</v>
      </c>
      <c r="W1097" s="31">
        <v>0</v>
      </c>
      <c r="X1097" s="31">
        <v>0</v>
      </c>
      <c r="Y1097" s="31">
        <v>0</v>
      </c>
      <c r="Z1097" s="31">
        <v>0</v>
      </c>
      <c r="AA1097" s="31">
        <v>0</v>
      </c>
      <c r="AB1097" s="31">
        <v>0</v>
      </c>
      <c r="AC1097" s="31">
        <f>ROUND(N1097*1.5%,2)</f>
        <v>56502.34</v>
      </c>
      <c r="AD1097" s="31">
        <v>150000</v>
      </c>
      <c r="AE1097" s="31">
        <v>0</v>
      </c>
      <c r="AF1097" s="34">
        <v>2022</v>
      </c>
      <c r="AG1097" s="34">
        <v>2022</v>
      </c>
      <c r="AH1097" s="35">
        <v>2022</v>
      </c>
      <c r="AT1097" s="20" t="e">
        <f t="shared" si="230"/>
        <v>#N/A</v>
      </c>
      <c r="BZ1097" s="71"/>
    </row>
    <row r="1098" spans="1:78" ht="61.5" x14ac:dyDescent="0.85">
      <c r="A1098" s="20">
        <v>1</v>
      </c>
      <c r="B1098" s="66">
        <f>SUBTOTAL(103,$A$948:A1098)</f>
        <v>137</v>
      </c>
      <c r="C1098" s="24" t="s">
        <v>709</v>
      </c>
      <c r="D1098" s="31">
        <f t="shared" si="239"/>
        <v>2687908</v>
      </c>
      <c r="E1098" s="31">
        <v>0</v>
      </c>
      <c r="F1098" s="31">
        <v>0</v>
      </c>
      <c r="G1098" s="31">
        <v>0</v>
      </c>
      <c r="H1098" s="31">
        <v>0</v>
      </c>
      <c r="I1098" s="31">
        <v>0</v>
      </c>
      <c r="J1098" s="31">
        <v>0</v>
      </c>
      <c r="K1098" s="33">
        <v>0</v>
      </c>
      <c r="L1098" s="31">
        <v>0</v>
      </c>
      <c r="M1098" s="31">
        <v>550.5</v>
      </c>
      <c r="N1098" s="31">
        <v>2500401.9700000002</v>
      </c>
      <c r="O1098" s="31">
        <v>0</v>
      </c>
      <c r="P1098" s="31">
        <v>0</v>
      </c>
      <c r="Q1098" s="31">
        <v>0</v>
      </c>
      <c r="R1098" s="31">
        <v>0</v>
      </c>
      <c r="S1098" s="31">
        <v>0</v>
      </c>
      <c r="T1098" s="31">
        <v>0</v>
      </c>
      <c r="U1098" s="31">
        <v>0</v>
      </c>
      <c r="V1098" s="31">
        <v>0</v>
      </c>
      <c r="W1098" s="31">
        <v>0</v>
      </c>
      <c r="X1098" s="31">
        <v>0</v>
      </c>
      <c r="Y1098" s="31">
        <v>0</v>
      </c>
      <c r="Z1098" s="31">
        <v>0</v>
      </c>
      <c r="AA1098" s="31">
        <v>0</v>
      </c>
      <c r="AB1098" s="31">
        <v>0</v>
      </c>
      <c r="AC1098" s="31">
        <f>ROUND(N1098*1.5%,2)</f>
        <v>37506.03</v>
      </c>
      <c r="AD1098" s="31">
        <v>150000</v>
      </c>
      <c r="AE1098" s="31">
        <v>0</v>
      </c>
      <c r="AF1098" s="34">
        <v>2022</v>
      </c>
      <c r="AG1098" s="34">
        <v>2022</v>
      </c>
      <c r="AH1098" s="35">
        <v>2022</v>
      </c>
      <c r="AT1098" s="20" t="e">
        <f t="shared" si="230"/>
        <v>#N/A</v>
      </c>
      <c r="BZ1098" s="71"/>
    </row>
    <row r="1099" spans="1:78" ht="61.5" x14ac:dyDescent="0.85">
      <c r="A1099" s="20">
        <v>1</v>
      </c>
      <c r="B1099" s="66">
        <f>SUBTOTAL(103,$A$948:A1099)</f>
        <v>138</v>
      </c>
      <c r="C1099" s="24" t="s">
        <v>693</v>
      </c>
      <c r="D1099" s="31">
        <f t="shared" si="239"/>
        <v>3058347.5</v>
      </c>
      <c r="E1099" s="31">
        <v>0</v>
      </c>
      <c r="F1099" s="31">
        <v>0</v>
      </c>
      <c r="G1099" s="31">
        <v>0</v>
      </c>
      <c r="H1099" s="31">
        <v>0</v>
      </c>
      <c r="I1099" s="31">
        <v>0</v>
      </c>
      <c r="J1099" s="31">
        <v>0</v>
      </c>
      <c r="K1099" s="33">
        <v>0</v>
      </c>
      <c r="L1099" s="31">
        <v>0</v>
      </c>
      <c r="M1099" s="31">
        <v>0</v>
      </c>
      <c r="N1099" s="31">
        <v>0</v>
      </c>
      <c r="O1099" s="31">
        <v>0</v>
      </c>
      <c r="P1099" s="31">
        <v>0</v>
      </c>
      <c r="Q1099" s="31">
        <v>585.5</v>
      </c>
      <c r="R1099" s="31">
        <f>2885071.43-118226.6</f>
        <v>2766844.83</v>
      </c>
      <c r="S1099" s="31">
        <v>0</v>
      </c>
      <c r="T1099" s="31">
        <v>0</v>
      </c>
      <c r="U1099" s="31">
        <v>0</v>
      </c>
      <c r="V1099" s="31">
        <v>0</v>
      </c>
      <c r="W1099" s="31">
        <v>0</v>
      </c>
      <c r="X1099" s="31">
        <v>0</v>
      </c>
      <c r="Y1099" s="31">
        <v>0</v>
      </c>
      <c r="Z1099" s="31">
        <v>0</v>
      </c>
      <c r="AA1099" s="31">
        <v>0</v>
      </c>
      <c r="AB1099" s="31">
        <v>0</v>
      </c>
      <c r="AC1099" s="31">
        <f>ROUND(R1099*1.5%,2)</f>
        <v>41502.67</v>
      </c>
      <c r="AD1099" s="31">
        <v>130000</v>
      </c>
      <c r="AE1099" s="31">
        <v>120000</v>
      </c>
      <c r="AF1099" s="34">
        <v>2022</v>
      </c>
      <c r="AG1099" s="34">
        <v>2022</v>
      </c>
      <c r="AH1099" s="35">
        <v>2022</v>
      </c>
      <c r="AT1099" s="20" t="e">
        <f t="shared" si="230"/>
        <v>#N/A</v>
      </c>
      <c r="BZ1099" s="71"/>
    </row>
    <row r="1100" spans="1:78" ht="61.5" x14ac:dyDescent="0.85">
      <c r="A1100" s="20">
        <v>1</v>
      </c>
      <c r="B1100" s="66">
        <f>SUBTOTAL(103,$A$948:A1100)</f>
        <v>139</v>
      </c>
      <c r="C1100" s="24" t="s">
        <v>692</v>
      </c>
      <c r="D1100" s="31">
        <f t="shared" si="239"/>
        <v>5240868.3999999994</v>
      </c>
      <c r="E1100" s="31">
        <v>0</v>
      </c>
      <c r="F1100" s="31">
        <v>0</v>
      </c>
      <c r="G1100" s="31">
        <v>0</v>
      </c>
      <c r="H1100" s="31">
        <v>0</v>
      </c>
      <c r="I1100" s="31">
        <v>0</v>
      </c>
      <c r="J1100" s="31">
        <v>0</v>
      </c>
      <c r="K1100" s="33">
        <v>0</v>
      </c>
      <c r="L1100" s="31">
        <v>0</v>
      </c>
      <c r="M1100" s="31">
        <v>950</v>
      </c>
      <c r="N1100" s="31">
        <v>5015633.8899999997</v>
      </c>
      <c r="O1100" s="31">
        <v>0</v>
      </c>
      <c r="P1100" s="31">
        <v>0</v>
      </c>
      <c r="Q1100" s="31">
        <v>0</v>
      </c>
      <c r="R1100" s="31">
        <v>0</v>
      </c>
      <c r="S1100" s="31">
        <v>0</v>
      </c>
      <c r="T1100" s="31">
        <v>0</v>
      </c>
      <c r="U1100" s="31">
        <v>0</v>
      </c>
      <c r="V1100" s="31">
        <v>0</v>
      </c>
      <c r="W1100" s="31">
        <v>0</v>
      </c>
      <c r="X1100" s="31">
        <v>0</v>
      </c>
      <c r="Y1100" s="31">
        <v>0</v>
      </c>
      <c r="Z1100" s="31">
        <v>0</v>
      </c>
      <c r="AA1100" s="31">
        <v>0</v>
      </c>
      <c r="AB1100" s="31">
        <v>0</v>
      </c>
      <c r="AC1100" s="31">
        <f>ROUND(N1100*1.5%,2)</f>
        <v>75234.509999999995</v>
      </c>
      <c r="AD1100" s="31">
        <v>150000</v>
      </c>
      <c r="AE1100" s="31">
        <v>0</v>
      </c>
      <c r="AF1100" s="34">
        <v>2022</v>
      </c>
      <c r="AG1100" s="34">
        <v>2022</v>
      </c>
      <c r="AH1100" s="35">
        <v>2022</v>
      </c>
      <c r="AT1100" s="20">
        <f t="shared" si="230"/>
        <v>1</v>
      </c>
      <c r="BZ1100" s="71"/>
    </row>
    <row r="1101" spans="1:78" ht="61.5" x14ac:dyDescent="0.85">
      <c r="A1101" s="20">
        <v>1</v>
      </c>
      <c r="B1101" s="66">
        <f>SUBTOTAL(103,$A$948:A1101)</f>
        <v>140</v>
      </c>
      <c r="C1101" s="24" t="s">
        <v>678</v>
      </c>
      <c r="D1101" s="31">
        <f t="shared" si="239"/>
        <v>2526766.84</v>
      </c>
      <c r="E1101" s="31">
        <v>0</v>
      </c>
      <c r="F1101" s="31">
        <v>0</v>
      </c>
      <c r="G1101" s="31">
        <v>0</v>
      </c>
      <c r="H1101" s="31">
        <v>0</v>
      </c>
      <c r="I1101" s="31">
        <v>0</v>
      </c>
      <c r="J1101" s="31">
        <v>0</v>
      </c>
      <c r="K1101" s="33">
        <v>0</v>
      </c>
      <c r="L1101" s="31">
        <v>0</v>
      </c>
      <c r="M1101" s="31">
        <v>550</v>
      </c>
      <c r="N1101" s="31">
        <v>2341642.21</v>
      </c>
      <c r="O1101" s="31">
        <v>0</v>
      </c>
      <c r="P1101" s="31">
        <v>0</v>
      </c>
      <c r="Q1101" s="31">
        <v>0</v>
      </c>
      <c r="R1101" s="31">
        <v>0</v>
      </c>
      <c r="S1101" s="31">
        <v>0</v>
      </c>
      <c r="T1101" s="31">
        <v>0</v>
      </c>
      <c r="U1101" s="31">
        <v>0</v>
      </c>
      <c r="V1101" s="31">
        <v>0</v>
      </c>
      <c r="W1101" s="31">
        <v>0</v>
      </c>
      <c r="X1101" s="31">
        <v>0</v>
      </c>
      <c r="Y1101" s="31">
        <v>0</v>
      </c>
      <c r="Z1101" s="31">
        <v>0</v>
      </c>
      <c r="AA1101" s="31">
        <v>0</v>
      </c>
      <c r="AB1101" s="31">
        <v>0</v>
      </c>
      <c r="AC1101" s="31">
        <f>ROUND(N1101*1.5%,2)</f>
        <v>35124.629999999997</v>
      </c>
      <c r="AD1101" s="31">
        <v>150000</v>
      </c>
      <c r="AE1101" s="31">
        <v>0</v>
      </c>
      <c r="AF1101" s="34">
        <v>2022</v>
      </c>
      <c r="AG1101" s="34">
        <v>2022</v>
      </c>
      <c r="AH1101" s="35">
        <v>2022</v>
      </c>
      <c r="AT1101" s="20" t="e">
        <f t="shared" si="230"/>
        <v>#N/A</v>
      </c>
      <c r="BZ1101" s="71"/>
    </row>
    <row r="1102" spans="1:78" ht="61.5" x14ac:dyDescent="0.85">
      <c r="A1102" s="20">
        <v>1</v>
      </c>
      <c r="B1102" s="66">
        <f>SUBTOTAL(103,$A$948:A1102)</f>
        <v>141</v>
      </c>
      <c r="C1102" s="24" t="s">
        <v>679</v>
      </c>
      <c r="D1102" s="31">
        <f t="shared" si="239"/>
        <v>4496606</v>
      </c>
      <c r="E1102" s="31">
        <v>0</v>
      </c>
      <c r="F1102" s="31">
        <v>0</v>
      </c>
      <c r="G1102" s="31">
        <v>0</v>
      </c>
      <c r="H1102" s="31">
        <v>0</v>
      </c>
      <c r="I1102" s="31">
        <v>0</v>
      </c>
      <c r="J1102" s="31">
        <v>0</v>
      </c>
      <c r="K1102" s="33">
        <v>2</v>
      </c>
      <c r="L1102" s="31">
        <v>4396606</v>
      </c>
      <c r="M1102" s="31">
        <v>0</v>
      </c>
      <c r="N1102" s="31">
        <v>0</v>
      </c>
      <c r="O1102" s="31">
        <v>0</v>
      </c>
      <c r="P1102" s="31">
        <v>0</v>
      </c>
      <c r="Q1102" s="31">
        <v>0</v>
      </c>
      <c r="R1102" s="31">
        <v>0</v>
      </c>
      <c r="S1102" s="31">
        <v>0</v>
      </c>
      <c r="T1102" s="31">
        <v>0</v>
      </c>
      <c r="U1102" s="31">
        <v>0</v>
      </c>
      <c r="V1102" s="31">
        <v>0</v>
      </c>
      <c r="W1102" s="31">
        <v>0</v>
      </c>
      <c r="X1102" s="31">
        <v>0</v>
      </c>
      <c r="Y1102" s="31">
        <v>0</v>
      </c>
      <c r="Z1102" s="31">
        <v>0</v>
      </c>
      <c r="AA1102" s="31">
        <v>0</v>
      </c>
      <c r="AB1102" s="31">
        <v>0</v>
      </c>
      <c r="AC1102" s="31">
        <v>0</v>
      </c>
      <c r="AD1102" s="31">
        <v>100000</v>
      </c>
      <c r="AE1102" s="31">
        <v>0</v>
      </c>
      <c r="AF1102" s="34">
        <v>2022</v>
      </c>
      <c r="AG1102" s="34">
        <v>2022</v>
      </c>
      <c r="AH1102" s="35" t="s">
        <v>274</v>
      </c>
      <c r="AT1102" s="20" t="e">
        <f t="shared" si="230"/>
        <v>#N/A</v>
      </c>
      <c r="BZ1102" s="71"/>
    </row>
    <row r="1103" spans="1:78" ht="61.5" x14ac:dyDescent="0.85">
      <c r="B1103" s="24" t="s">
        <v>849</v>
      </c>
      <c r="C1103" s="166"/>
      <c r="D1103" s="31">
        <f>D1104+D1105</f>
        <v>12591900</v>
      </c>
      <c r="E1103" s="31">
        <f t="shared" ref="E1103:AE1103" si="240">E1104+E1105</f>
        <v>0</v>
      </c>
      <c r="F1103" s="31">
        <f t="shared" si="240"/>
        <v>0</v>
      </c>
      <c r="G1103" s="31">
        <f t="shared" si="240"/>
        <v>0</v>
      </c>
      <c r="H1103" s="31">
        <f t="shared" si="240"/>
        <v>0</v>
      </c>
      <c r="I1103" s="31">
        <f t="shared" si="240"/>
        <v>0</v>
      </c>
      <c r="J1103" s="31">
        <f t="shared" si="240"/>
        <v>0</v>
      </c>
      <c r="K1103" s="33">
        <f t="shared" si="240"/>
        <v>0</v>
      </c>
      <c r="L1103" s="31">
        <f t="shared" si="240"/>
        <v>0</v>
      </c>
      <c r="M1103" s="31">
        <f t="shared" si="240"/>
        <v>2469</v>
      </c>
      <c r="N1103" s="31">
        <f t="shared" si="240"/>
        <v>12080689.66</v>
      </c>
      <c r="O1103" s="31">
        <f t="shared" si="240"/>
        <v>0</v>
      </c>
      <c r="P1103" s="31">
        <f t="shared" si="240"/>
        <v>0</v>
      </c>
      <c r="Q1103" s="31">
        <f t="shared" si="240"/>
        <v>0</v>
      </c>
      <c r="R1103" s="31">
        <f t="shared" si="240"/>
        <v>0</v>
      </c>
      <c r="S1103" s="31">
        <f t="shared" si="240"/>
        <v>0</v>
      </c>
      <c r="T1103" s="31">
        <f t="shared" si="240"/>
        <v>0</v>
      </c>
      <c r="U1103" s="31">
        <f t="shared" si="240"/>
        <v>0</v>
      </c>
      <c r="V1103" s="31">
        <f t="shared" si="240"/>
        <v>0</v>
      </c>
      <c r="W1103" s="31">
        <f t="shared" si="240"/>
        <v>0</v>
      </c>
      <c r="X1103" s="31">
        <f t="shared" si="240"/>
        <v>0</v>
      </c>
      <c r="Y1103" s="31">
        <f t="shared" si="240"/>
        <v>0</v>
      </c>
      <c r="Z1103" s="31">
        <f t="shared" si="240"/>
        <v>0</v>
      </c>
      <c r="AA1103" s="31">
        <f t="shared" si="240"/>
        <v>0</v>
      </c>
      <c r="AB1103" s="31">
        <f t="shared" si="240"/>
        <v>0</v>
      </c>
      <c r="AC1103" s="31">
        <f t="shared" si="240"/>
        <v>181210.34</v>
      </c>
      <c r="AD1103" s="31">
        <f t="shared" si="240"/>
        <v>330000</v>
      </c>
      <c r="AE1103" s="31">
        <f t="shared" si="240"/>
        <v>0</v>
      </c>
      <c r="AF1103" s="72" t="s">
        <v>776</v>
      </c>
      <c r="AG1103" s="72" t="s">
        <v>776</v>
      </c>
      <c r="AH1103" s="89" t="s">
        <v>776</v>
      </c>
      <c r="AT1103" s="20" t="e">
        <f t="shared" si="230"/>
        <v>#N/A</v>
      </c>
      <c r="BZ1103" s="71">
        <v>12591900</v>
      </c>
    </row>
    <row r="1104" spans="1:78" ht="61.5" x14ac:dyDescent="0.85">
      <c r="A1104" s="20">
        <v>1</v>
      </c>
      <c r="B1104" s="66">
        <f>SUBTOTAL(103,$A$948:A1104)</f>
        <v>142</v>
      </c>
      <c r="C1104" s="24" t="s">
        <v>239</v>
      </c>
      <c r="D1104" s="31">
        <f>E1104+F1104+G1104+H1104+I1104+J1104+L1104+N1104+P1104+R1104+T1104+U1104+V1104+W1104+X1104+Y1104+Z1104+AA1104+AB1104+AC1104+AD1104+AE1104</f>
        <v>4620600</v>
      </c>
      <c r="E1104" s="31">
        <v>0</v>
      </c>
      <c r="F1104" s="31">
        <v>0</v>
      </c>
      <c r="G1104" s="31">
        <v>0</v>
      </c>
      <c r="H1104" s="31">
        <v>0</v>
      </c>
      <c r="I1104" s="31">
        <v>0</v>
      </c>
      <c r="J1104" s="31">
        <v>0</v>
      </c>
      <c r="K1104" s="33">
        <v>0</v>
      </c>
      <c r="L1104" s="31">
        <v>0</v>
      </c>
      <c r="M1104" s="31">
        <v>906</v>
      </c>
      <c r="N1104" s="31">
        <v>4404532.0199999996</v>
      </c>
      <c r="O1104" s="31">
        <v>0</v>
      </c>
      <c r="P1104" s="31">
        <v>0</v>
      </c>
      <c r="Q1104" s="31">
        <v>0</v>
      </c>
      <c r="R1104" s="31">
        <v>0</v>
      </c>
      <c r="S1104" s="31">
        <v>0</v>
      </c>
      <c r="T1104" s="31">
        <v>0</v>
      </c>
      <c r="U1104" s="31">
        <v>0</v>
      </c>
      <c r="V1104" s="31">
        <v>0</v>
      </c>
      <c r="W1104" s="31">
        <v>0</v>
      </c>
      <c r="X1104" s="31">
        <v>0</v>
      </c>
      <c r="Y1104" s="31">
        <v>0</v>
      </c>
      <c r="Z1104" s="31">
        <v>0</v>
      </c>
      <c r="AA1104" s="31">
        <v>0</v>
      </c>
      <c r="AB1104" s="31">
        <v>0</v>
      </c>
      <c r="AC1104" s="31">
        <f>ROUND(N1104*1.5%,2)</f>
        <v>66067.98</v>
      </c>
      <c r="AD1104" s="31">
        <v>150000</v>
      </c>
      <c r="AE1104" s="31">
        <v>0</v>
      </c>
      <c r="AF1104" s="34">
        <v>2022</v>
      </c>
      <c r="AG1104" s="34">
        <v>2022</v>
      </c>
      <c r="AH1104" s="35">
        <v>2022</v>
      </c>
      <c r="AT1104" s="20" t="e">
        <f t="shared" si="230"/>
        <v>#N/A</v>
      </c>
      <c r="BZ1104" s="71"/>
    </row>
    <row r="1105" spans="1:78" ht="61.5" x14ac:dyDescent="0.85">
      <c r="A1105" s="20">
        <v>1</v>
      </c>
      <c r="B1105" s="66">
        <f>SUBTOTAL(103,$A$948:A1105)</f>
        <v>143</v>
      </c>
      <c r="C1105" s="24" t="s">
        <v>243</v>
      </c>
      <c r="D1105" s="31">
        <f>E1105+F1105+G1105+H1105+I1105+J1105+L1105+N1105+P1105+R1105+T1105+U1105+V1105+W1105+X1105+Y1105+Z1105+AA1105+AB1105+AC1105+AD1105+AE1105</f>
        <v>7971300</v>
      </c>
      <c r="E1105" s="31">
        <v>0</v>
      </c>
      <c r="F1105" s="31">
        <v>0</v>
      </c>
      <c r="G1105" s="31">
        <v>0</v>
      </c>
      <c r="H1105" s="31">
        <v>0</v>
      </c>
      <c r="I1105" s="31">
        <v>0</v>
      </c>
      <c r="J1105" s="31">
        <v>0</v>
      </c>
      <c r="K1105" s="33">
        <v>0</v>
      </c>
      <c r="L1105" s="31">
        <v>0</v>
      </c>
      <c r="M1105" s="31">
        <v>1563</v>
      </c>
      <c r="N1105" s="31">
        <v>7676157.6399999997</v>
      </c>
      <c r="O1105" s="31">
        <v>0</v>
      </c>
      <c r="P1105" s="31">
        <v>0</v>
      </c>
      <c r="Q1105" s="31">
        <v>0</v>
      </c>
      <c r="R1105" s="31">
        <v>0</v>
      </c>
      <c r="S1105" s="31">
        <v>0</v>
      </c>
      <c r="T1105" s="31">
        <v>0</v>
      </c>
      <c r="U1105" s="31">
        <v>0</v>
      </c>
      <c r="V1105" s="31">
        <v>0</v>
      </c>
      <c r="W1105" s="31">
        <v>0</v>
      </c>
      <c r="X1105" s="31">
        <v>0</v>
      </c>
      <c r="Y1105" s="31">
        <v>0</v>
      </c>
      <c r="Z1105" s="31">
        <v>0</v>
      </c>
      <c r="AA1105" s="31">
        <v>0</v>
      </c>
      <c r="AB1105" s="31">
        <v>0</v>
      </c>
      <c r="AC1105" s="31">
        <f>ROUND(N1105*1.5%,2)</f>
        <v>115142.36</v>
      </c>
      <c r="AD1105" s="31">
        <v>180000</v>
      </c>
      <c r="AE1105" s="31">
        <v>0</v>
      </c>
      <c r="AF1105" s="34">
        <v>2022</v>
      </c>
      <c r="AG1105" s="34">
        <v>2022</v>
      </c>
      <c r="AH1105" s="35">
        <v>2022</v>
      </c>
      <c r="AT1105" s="20" t="e">
        <f t="shared" si="230"/>
        <v>#N/A</v>
      </c>
      <c r="BZ1105" s="71"/>
    </row>
    <row r="1106" spans="1:78" ht="61.5" x14ac:dyDescent="0.85">
      <c r="B1106" s="24" t="s">
        <v>850</v>
      </c>
      <c r="C1106" s="24"/>
      <c r="D1106" s="31">
        <f>D1107</f>
        <v>1724820</v>
      </c>
      <c r="E1106" s="31">
        <f t="shared" ref="E1106:AE1106" si="241">E1107</f>
        <v>0</v>
      </c>
      <c r="F1106" s="31">
        <f t="shared" si="241"/>
        <v>0</v>
      </c>
      <c r="G1106" s="31">
        <f t="shared" si="241"/>
        <v>0</v>
      </c>
      <c r="H1106" s="31">
        <f t="shared" si="241"/>
        <v>0</v>
      </c>
      <c r="I1106" s="31">
        <f t="shared" si="241"/>
        <v>0</v>
      </c>
      <c r="J1106" s="31">
        <f t="shared" si="241"/>
        <v>0</v>
      </c>
      <c r="K1106" s="33">
        <f t="shared" si="241"/>
        <v>0</v>
      </c>
      <c r="L1106" s="31">
        <f t="shared" si="241"/>
        <v>0</v>
      </c>
      <c r="M1106" s="31">
        <f t="shared" si="241"/>
        <v>338.2</v>
      </c>
      <c r="N1106" s="31">
        <f t="shared" si="241"/>
        <v>1581103.45</v>
      </c>
      <c r="O1106" s="31">
        <f t="shared" si="241"/>
        <v>0</v>
      </c>
      <c r="P1106" s="31">
        <f t="shared" si="241"/>
        <v>0</v>
      </c>
      <c r="Q1106" s="31">
        <f t="shared" si="241"/>
        <v>0</v>
      </c>
      <c r="R1106" s="31">
        <f t="shared" si="241"/>
        <v>0</v>
      </c>
      <c r="S1106" s="31">
        <f t="shared" si="241"/>
        <v>0</v>
      </c>
      <c r="T1106" s="31">
        <f t="shared" si="241"/>
        <v>0</v>
      </c>
      <c r="U1106" s="31">
        <f t="shared" si="241"/>
        <v>0</v>
      </c>
      <c r="V1106" s="31">
        <f t="shared" si="241"/>
        <v>0</v>
      </c>
      <c r="W1106" s="31">
        <f t="shared" si="241"/>
        <v>0</v>
      </c>
      <c r="X1106" s="31">
        <f t="shared" si="241"/>
        <v>0</v>
      </c>
      <c r="Y1106" s="31">
        <f t="shared" si="241"/>
        <v>0</v>
      </c>
      <c r="Z1106" s="31">
        <f t="shared" si="241"/>
        <v>0</v>
      </c>
      <c r="AA1106" s="31">
        <f t="shared" si="241"/>
        <v>0</v>
      </c>
      <c r="AB1106" s="31">
        <f t="shared" si="241"/>
        <v>0</v>
      </c>
      <c r="AC1106" s="31">
        <f t="shared" si="241"/>
        <v>23716.55</v>
      </c>
      <c r="AD1106" s="31">
        <f t="shared" si="241"/>
        <v>120000</v>
      </c>
      <c r="AE1106" s="31">
        <f t="shared" si="241"/>
        <v>0</v>
      </c>
      <c r="AF1106" s="72" t="s">
        <v>776</v>
      </c>
      <c r="AG1106" s="72" t="s">
        <v>776</v>
      </c>
      <c r="AH1106" s="89" t="s">
        <v>776</v>
      </c>
      <c r="AT1106" s="20" t="e">
        <f t="shared" si="230"/>
        <v>#N/A</v>
      </c>
      <c r="BZ1106" s="71">
        <v>1724820</v>
      </c>
    </row>
    <row r="1107" spans="1:78" ht="61.5" x14ac:dyDescent="0.85">
      <c r="A1107" s="20">
        <v>1</v>
      </c>
      <c r="B1107" s="66">
        <f>SUBTOTAL(103,$A$948:A1107)</f>
        <v>144</v>
      </c>
      <c r="C1107" s="24" t="s">
        <v>248</v>
      </c>
      <c r="D1107" s="31">
        <f>E1107+F1107+G1107+H1107+I1107+J1107+L1107+N1107+P1107+R1107+T1107+U1107+V1107+W1107+X1107+Y1107+Z1107+AA1107+AB1107+AC1107+AD1107+AE1107</f>
        <v>1724820</v>
      </c>
      <c r="E1107" s="31">
        <v>0</v>
      </c>
      <c r="F1107" s="31">
        <v>0</v>
      </c>
      <c r="G1107" s="31">
        <v>0</v>
      </c>
      <c r="H1107" s="31">
        <v>0</v>
      </c>
      <c r="I1107" s="31">
        <v>0</v>
      </c>
      <c r="J1107" s="31">
        <v>0</v>
      </c>
      <c r="K1107" s="33">
        <v>0</v>
      </c>
      <c r="L1107" s="31">
        <v>0</v>
      </c>
      <c r="M1107" s="31">
        <v>338.2</v>
      </c>
      <c r="N1107" s="31">
        <v>1581103.45</v>
      </c>
      <c r="O1107" s="31">
        <v>0</v>
      </c>
      <c r="P1107" s="31">
        <v>0</v>
      </c>
      <c r="Q1107" s="31">
        <v>0</v>
      </c>
      <c r="R1107" s="31">
        <v>0</v>
      </c>
      <c r="S1107" s="31">
        <v>0</v>
      </c>
      <c r="T1107" s="31">
        <v>0</v>
      </c>
      <c r="U1107" s="31">
        <v>0</v>
      </c>
      <c r="V1107" s="31">
        <v>0</v>
      </c>
      <c r="W1107" s="31">
        <v>0</v>
      </c>
      <c r="X1107" s="31">
        <v>0</v>
      </c>
      <c r="Y1107" s="31">
        <v>0</v>
      </c>
      <c r="Z1107" s="31">
        <v>0</v>
      </c>
      <c r="AA1107" s="31">
        <v>0</v>
      </c>
      <c r="AB1107" s="31">
        <v>0</v>
      </c>
      <c r="AC1107" s="31">
        <f>ROUND(N1107*1.5%,2)</f>
        <v>23716.55</v>
      </c>
      <c r="AD1107" s="31">
        <v>120000</v>
      </c>
      <c r="AE1107" s="31">
        <v>0</v>
      </c>
      <c r="AF1107" s="34">
        <v>2022</v>
      </c>
      <c r="AG1107" s="34">
        <v>2022</v>
      </c>
      <c r="AH1107" s="35">
        <v>2022</v>
      </c>
      <c r="AT1107" s="20" t="e">
        <f t="shared" si="230"/>
        <v>#N/A</v>
      </c>
      <c r="BZ1107" s="71"/>
    </row>
    <row r="1108" spans="1:78" ht="61.5" x14ac:dyDescent="0.85">
      <c r="B1108" s="24" t="s">
        <v>851</v>
      </c>
      <c r="C1108" s="24"/>
      <c r="D1108" s="31">
        <f>D1109</f>
        <v>1739107.3499999999</v>
      </c>
      <c r="E1108" s="31">
        <f t="shared" ref="E1108:AE1108" si="242">E1109</f>
        <v>0</v>
      </c>
      <c r="F1108" s="31">
        <f t="shared" si="242"/>
        <v>0</v>
      </c>
      <c r="G1108" s="31">
        <f t="shared" si="242"/>
        <v>0</v>
      </c>
      <c r="H1108" s="31">
        <f t="shared" si="242"/>
        <v>0</v>
      </c>
      <c r="I1108" s="31">
        <f t="shared" si="242"/>
        <v>0</v>
      </c>
      <c r="J1108" s="31">
        <f t="shared" si="242"/>
        <v>0</v>
      </c>
      <c r="K1108" s="33">
        <f t="shared" si="242"/>
        <v>0</v>
      </c>
      <c r="L1108" s="31">
        <f t="shared" si="242"/>
        <v>0</v>
      </c>
      <c r="M1108" s="31">
        <f t="shared" si="242"/>
        <v>0</v>
      </c>
      <c r="N1108" s="31">
        <f t="shared" si="242"/>
        <v>0</v>
      </c>
      <c r="O1108" s="31">
        <f t="shared" si="242"/>
        <v>0</v>
      </c>
      <c r="P1108" s="31">
        <f t="shared" si="242"/>
        <v>0</v>
      </c>
      <c r="Q1108" s="31">
        <f t="shared" si="242"/>
        <v>568.70000000000005</v>
      </c>
      <c r="R1108" s="31">
        <f t="shared" si="242"/>
        <v>1585327.44</v>
      </c>
      <c r="S1108" s="31">
        <f t="shared" si="242"/>
        <v>0</v>
      </c>
      <c r="T1108" s="31">
        <f t="shared" si="242"/>
        <v>0</v>
      </c>
      <c r="U1108" s="31">
        <f t="shared" si="242"/>
        <v>0</v>
      </c>
      <c r="V1108" s="31">
        <f t="shared" si="242"/>
        <v>0</v>
      </c>
      <c r="W1108" s="31">
        <f t="shared" si="242"/>
        <v>0</v>
      </c>
      <c r="X1108" s="31">
        <f t="shared" si="242"/>
        <v>0</v>
      </c>
      <c r="Y1108" s="31">
        <f t="shared" si="242"/>
        <v>0</v>
      </c>
      <c r="Z1108" s="31">
        <f t="shared" si="242"/>
        <v>0</v>
      </c>
      <c r="AA1108" s="31">
        <f t="shared" si="242"/>
        <v>0</v>
      </c>
      <c r="AB1108" s="31">
        <f t="shared" si="242"/>
        <v>0</v>
      </c>
      <c r="AC1108" s="31">
        <f t="shared" si="242"/>
        <v>23779.91</v>
      </c>
      <c r="AD1108" s="31">
        <f t="shared" si="242"/>
        <v>130000</v>
      </c>
      <c r="AE1108" s="31">
        <f t="shared" si="242"/>
        <v>0</v>
      </c>
      <c r="AF1108" s="72" t="s">
        <v>776</v>
      </c>
      <c r="AG1108" s="72" t="s">
        <v>776</v>
      </c>
      <c r="AH1108" s="89" t="s">
        <v>776</v>
      </c>
      <c r="AT1108" s="20" t="e">
        <f t="shared" si="230"/>
        <v>#N/A</v>
      </c>
      <c r="BZ1108" s="71">
        <v>1739107.3499999999</v>
      </c>
    </row>
    <row r="1109" spans="1:78" ht="61.5" x14ac:dyDescent="0.85">
      <c r="A1109" s="20">
        <v>1</v>
      </c>
      <c r="B1109" s="66">
        <f>SUBTOTAL(103,$A$948:A1109)</f>
        <v>145</v>
      </c>
      <c r="C1109" s="24" t="s">
        <v>250</v>
      </c>
      <c r="D1109" s="31">
        <f>E1109+F1109+G1109+H1109+I1109+J1109+L1109+N1109+P1109+R1109+T1109+U1109+V1109+W1109+X1109+Y1109+Z1109+AA1109+AB1109+AC1109+AD1109+AE1109</f>
        <v>1739107.3499999999</v>
      </c>
      <c r="E1109" s="31">
        <v>0</v>
      </c>
      <c r="F1109" s="31">
        <v>0</v>
      </c>
      <c r="G1109" s="31">
        <v>0</v>
      </c>
      <c r="H1109" s="31">
        <v>0</v>
      </c>
      <c r="I1109" s="31">
        <v>0</v>
      </c>
      <c r="J1109" s="31">
        <v>0</v>
      </c>
      <c r="K1109" s="33">
        <v>0</v>
      </c>
      <c r="L1109" s="31">
        <v>0</v>
      </c>
      <c r="M1109" s="31">
        <v>0</v>
      </c>
      <c r="N1109" s="31">
        <v>0</v>
      </c>
      <c r="O1109" s="31">
        <v>0</v>
      </c>
      <c r="P1109" s="31">
        <v>0</v>
      </c>
      <c r="Q1109" s="31">
        <v>568.70000000000005</v>
      </c>
      <c r="R1109" s="31">
        <v>1585327.44</v>
      </c>
      <c r="S1109" s="31">
        <v>0</v>
      </c>
      <c r="T1109" s="31">
        <v>0</v>
      </c>
      <c r="U1109" s="31">
        <v>0</v>
      </c>
      <c r="V1109" s="31">
        <v>0</v>
      </c>
      <c r="W1109" s="31">
        <v>0</v>
      </c>
      <c r="X1109" s="31">
        <v>0</v>
      </c>
      <c r="Y1109" s="31">
        <v>0</v>
      </c>
      <c r="Z1109" s="31">
        <v>0</v>
      </c>
      <c r="AA1109" s="31">
        <v>0</v>
      </c>
      <c r="AB1109" s="31">
        <v>0</v>
      </c>
      <c r="AC1109" s="31">
        <f>ROUND(R1109*1.5%,2)</f>
        <v>23779.91</v>
      </c>
      <c r="AD1109" s="31">
        <v>130000</v>
      </c>
      <c r="AE1109" s="31">
        <v>0</v>
      </c>
      <c r="AF1109" s="34">
        <v>2022</v>
      </c>
      <c r="AG1109" s="34">
        <v>2022</v>
      </c>
      <c r="AH1109" s="35">
        <v>2022</v>
      </c>
      <c r="AT1109" s="20" t="e">
        <f t="shared" ref="AT1109:AT1128" si="243">VLOOKUP(C1109,AW:AX,2,FALSE)</f>
        <v>#N/A</v>
      </c>
      <c r="BZ1109" s="71"/>
    </row>
    <row r="1110" spans="1:78" ht="61.5" x14ac:dyDescent="0.85">
      <c r="B1110" s="24" t="s">
        <v>911</v>
      </c>
      <c r="C1110" s="167"/>
      <c r="D1110" s="31">
        <f>D1111</f>
        <v>3373804.98</v>
      </c>
      <c r="E1110" s="31">
        <f t="shared" ref="E1110:AE1110" si="244">E1111</f>
        <v>0</v>
      </c>
      <c r="F1110" s="31">
        <f t="shared" si="244"/>
        <v>0</v>
      </c>
      <c r="G1110" s="31">
        <f t="shared" si="244"/>
        <v>0</v>
      </c>
      <c r="H1110" s="31">
        <f t="shared" si="244"/>
        <v>0</v>
      </c>
      <c r="I1110" s="31">
        <f t="shared" si="244"/>
        <v>0</v>
      </c>
      <c r="J1110" s="31">
        <f t="shared" si="244"/>
        <v>0</v>
      </c>
      <c r="K1110" s="33">
        <f t="shared" si="244"/>
        <v>0</v>
      </c>
      <c r="L1110" s="31">
        <f t="shared" si="244"/>
        <v>0</v>
      </c>
      <c r="M1110" s="31">
        <f t="shared" si="244"/>
        <v>646.1</v>
      </c>
      <c r="N1110" s="31">
        <f t="shared" si="244"/>
        <v>3176162.54</v>
      </c>
      <c r="O1110" s="31">
        <f t="shared" si="244"/>
        <v>0</v>
      </c>
      <c r="P1110" s="31">
        <f t="shared" si="244"/>
        <v>0</v>
      </c>
      <c r="Q1110" s="31">
        <f t="shared" si="244"/>
        <v>0</v>
      </c>
      <c r="R1110" s="31">
        <f t="shared" si="244"/>
        <v>0</v>
      </c>
      <c r="S1110" s="31">
        <f t="shared" si="244"/>
        <v>0</v>
      </c>
      <c r="T1110" s="31">
        <f t="shared" si="244"/>
        <v>0</v>
      </c>
      <c r="U1110" s="31">
        <f t="shared" si="244"/>
        <v>0</v>
      </c>
      <c r="V1110" s="31">
        <f t="shared" si="244"/>
        <v>0</v>
      </c>
      <c r="W1110" s="31">
        <f t="shared" si="244"/>
        <v>0</v>
      </c>
      <c r="X1110" s="31">
        <f t="shared" si="244"/>
        <v>0</v>
      </c>
      <c r="Y1110" s="31">
        <f t="shared" si="244"/>
        <v>0</v>
      </c>
      <c r="Z1110" s="31">
        <f t="shared" si="244"/>
        <v>0</v>
      </c>
      <c r="AA1110" s="31">
        <f t="shared" si="244"/>
        <v>0</v>
      </c>
      <c r="AB1110" s="31">
        <f t="shared" si="244"/>
        <v>0</v>
      </c>
      <c r="AC1110" s="31">
        <f t="shared" si="244"/>
        <v>47642.44</v>
      </c>
      <c r="AD1110" s="31">
        <f t="shared" si="244"/>
        <v>150000</v>
      </c>
      <c r="AE1110" s="31">
        <f t="shared" si="244"/>
        <v>0</v>
      </c>
      <c r="AF1110" s="72" t="s">
        <v>776</v>
      </c>
      <c r="AG1110" s="72" t="s">
        <v>776</v>
      </c>
      <c r="AH1110" s="89" t="s">
        <v>776</v>
      </c>
      <c r="AT1110" s="20" t="e">
        <f t="shared" si="243"/>
        <v>#N/A</v>
      </c>
      <c r="BZ1110" s="71">
        <v>3373804.98</v>
      </c>
    </row>
    <row r="1111" spans="1:78" ht="61.5" x14ac:dyDescent="0.85">
      <c r="A1111" s="20">
        <v>1</v>
      </c>
      <c r="B1111" s="66">
        <f>SUBTOTAL(103,$A$948:A1111)</f>
        <v>146</v>
      </c>
      <c r="C1111" s="25" t="s">
        <v>4</v>
      </c>
      <c r="D1111" s="31">
        <f>E1111+F1111+G1111+H1111+I1111+J1111+L1111+N1111+P1111+R1111+T1111+U1111+V1111+W1111+X1111+Y1111+Z1111+AA1111+AB1111+AC1111+AD1111+AE1111</f>
        <v>3373804.98</v>
      </c>
      <c r="E1111" s="31">
        <v>0</v>
      </c>
      <c r="F1111" s="31">
        <v>0</v>
      </c>
      <c r="G1111" s="31">
        <v>0</v>
      </c>
      <c r="H1111" s="31">
        <v>0</v>
      </c>
      <c r="I1111" s="31">
        <v>0</v>
      </c>
      <c r="J1111" s="31">
        <v>0</v>
      </c>
      <c r="K1111" s="33">
        <v>0</v>
      </c>
      <c r="L1111" s="31">
        <v>0</v>
      </c>
      <c r="M1111" s="31">
        <v>646.1</v>
      </c>
      <c r="N1111" s="31">
        <v>3176162.54</v>
      </c>
      <c r="O1111" s="31">
        <v>0</v>
      </c>
      <c r="P1111" s="31">
        <v>0</v>
      </c>
      <c r="Q1111" s="31">
        <v>0</v>
      </c>
      <c r="R1111" s="31">
        <v>0</v>
      </c>
      <c r="S1111" s="31">
        <v>0</v>
      </c>
      <c r="T1111" s="31">
        <v>0</v>
      </c>
      <c r="U1111" s="31">
        <v>0</v>
      </c>
      <c r="V1111" s="31">
        <v>0</v>
      </c>
      <c r="W1111" s="31">
        <v>0</v>
      </c>
      <c r="X1111" s="31">
        <v>0</v>
      </c>
      <c r="Y1111" s="31">
        <v>0</v>
      </c>
      <c r="Z1111" s="31">
        <v>0</v>
      </c>
      <c r="AA1111" s="31">
        <v>0</v>
      </c>
      <c r="AB1111" s="31">
        <v>0</v>
      </c>
      <c r="AC1111" s="31">
        <f>ROUND(N1111*1.5%,2)</f>
        <v>47642.44</v>
      </c>
      <c r="AD1111" s="31">
        <v>150000</v>
      </c>
      <c r="AE1111" s="31">
        <v>0</v>
      </c>
      <c r="AF1111" s="34">
        <v>2022</v>
      </c>
      <c r="AG1111" s="34">
        <v>2022</v>
      </c>
      <c r="AH1111" s="35">
        <v>2022</v>
      </c>
      <c r="AT1111" s="20" t="e">
        <f t="shared" si="243"/>
        <v>#N/A</v>
      </c>
      <c r="BZ1111" s="71"/>
    </row>
    <row r="1112" spans="1:78" ht="61.5" x14ac:dyDescent="0.85">
      <c r="B1112" s="24" t="s">
        <v>912</v>
      </c>
      <c r="C1112" s="25"/>
      <c r="D1112" s="31">
        <f>D1113</f>
        <v>3916350</v>
      </c>
      <c r="E1112" s="31">
        <f t="shared" ref="E1112:AE1112" si="245">E1113</f>
        <v>0</v>
      </c>
      <c r="F1112" s="31">
        <f t="shared" si="245"/>
        <v>0</v>
      </c>
      <c r="G1112" s="31">
        <f t="shared" si="245"/>
        <v>0</v>
      </c>
      <c r="H1112" s="31">
        <f t="shared" si="245"/>
        <v>0</v>
      </c>
      <c r="I1112" s="31">
        <f t="shared" si="245"/>
        <v>0</v>
      </c>
      <c r="J1112" s="31">
        <f t="shared" si="245"/>
        <v>0</v>
      </c>
      <c r="K1112" s="33">
        <f t="shared" si="245"/>
        <v>0</v>
      </c>
      <c r="L1112" s="31">
        <f t="shared" si="245"/>
        <v>0</v>
      </c>
      <c r="M1112" s="31">
        <f t="shared" si="245"/>
        <v>750</v>
      </c>
      <c r="N1112" s="31">
        <f t="shared" si="245"/>
        <v>3710689.66</v>
      </c>
      <c r="O1112" s="31">
        <f t="shared" si="245"/>
        <v>0</v>
      </c>
      <c r="P1112" s="31">
        <f t="shared" si="245"/>
        <v>0</v>
      </c>
      <c r="Q1112" s="31">
        <f t="shared" si="245"/>
        <v>0</v>
      </c>
      <c r="R1112" s="31">
        <f t="shared" si="245"/>
        <v>0</v>
      </c>
      <c r="S1112" s="31">
        <f t="shared" si="245"/>
        <v>0</v>
      </c>
      <c r="T1112" s="31">
        <f t="shared" si="245"/>
        <v>0</v>
      </c>
      <c r="U1112" s="31">
        <f t="shared" si="245"/>
        <v>0</v>
      </c>
      <c r="V1112" s="31">
        <f t="shared" si="245"/>
        <v>0</v>
      </c>
      <c r="W1112" s="31">
        <f t="shared" si="245"/>
        <v>0</v>
      </c>
      <c r="X1112" s="31">
        <f t="shared" si="245"/>
        <v>0</v>
      </c>
      <c r="Y1112" s="31">
        <f t="shared" si="245"/>
        <v>0</v>
      </c>
      <c r="Z1112" s="31">
        <f t="shared" si="245"/>
        <v>0</v>
      </c>
      <c r="AA1112" s="31">
        <f t="shared" si="245"/>
        <v>0</v>
      </c>
      <c r="AB1112" s="31">
        <f t="shared" si="245"/>
        <v>0</v>
      </c>
      <c r="AC1112" s="31">
        <f t="shared" si="245"/>
        <v>55660.34</v>
      </c>
      <c r="AD1112" s="31">
        <f t="shared" si="245"/>
        <v>150000</v>
      </c>
      <c r="AE1112" s="31">
        <f t="shared" si="245"/>
        <v>0</v>
      </c>
      <c r="AF1112" s="72" t="s">
        <v>776</v>
      </c>
      <c r="AG1112" s="72" t="s">
        <v>776</v>
      </c>
      <c r="AH1112" s="89" t="s">
        <v>776</v>
      </c>
      <c r="AT1112" s="20" t="e">
        <f t="shared" si="243"/>
        <v>#N/A</v>
      </c>
      <c r="BZ1112" s="71">
        <v>3916350</v>
      </c>
    </row>
    <row r="1113" spans="1:78" ht="61.5" x14ac:dyDescent="0.85">
      <c r="A1113" s="20">
        <v>1</v>
      </c>
      <c r="B1113" s="66">
        <f>SUBTOTAL(103,$A$948:A1113)</f>
        <v>147</v>
      </c>
      <c r="C1113" s="25" t="s">
        <v>3</v>
      </c>
      <c r="D1113" s="31">
        <f>E1113+F1113+G1113+H1113+I1113+J1113+L1113+N1113+P1113+R1113+T1113+U1113+V1113+W1113+X1113+Y1113+Z1113+AA1113+AB1113+AC1113+AD1113+AE1113</f>
        <v>3916350</v>
      </c>
      <c r="E1113" s="31">
        <v>0</v>
      </c>
      <c r="F1113" s="31">
        <v>0</v>
      </c>
      <c r="G1113" s="31">
        <v>0</v>
      </c>
      <c r="H1113" s="31">
        <v>0</v>
      </c>
      <c r="I1113" s="31">
        <v>0</v>
      </c>
      <c r="J1113" s="31">
        <v>0</v>
      </c>
      <c r="K1113" s="33">
        <v>0</v>
      </c>
      <c r="L1113" s="31">
        <v>0</v>
      </c>
      <c r="M1113" s="31">
        <v>750</v>
      </c>
      <c r="N1113" s="31">
        <v>3710689.66</v>
      </c>
      <c r="O1113" s="31">
        <v>0</v>
      </c>
      <c r="P1113" s="31">
        <v>0</v>
      </c>
      <c r="Q1113" s="31">
        <v>0</v>
      </c>
      <c r="R1113" s="31">
        <v>0</v>
      </c>
      <c r="S1113" s="31">
        <v>0</v>
      </c>
      <c r="T1113" s="31">
        <v>0</v>
      </c>
      <c r="U1113" s="31">
        <v>0</v>
      </c>
      <c r="V1113" s="31">
        <v>0</v>
      </c>
      <c r="W1113" s="31">
        <v>0</v>
      </c>
      <c r="X1113" s="31">
        <v>0</v>
      </c>
      <c r="Y1113" s="31">
        <v>0</v>
      </c>
      <c r="Z1113" s="31">
        <v>0</v>
      </c>
      <c r="AA1113" s="31">
        <v>0</v>
      </c>
      <c r="AB1113" s="31">
        <v>0</v>
      </c>
      <c r="AC1113" s="31">
        <f>ROUND(N1113*1.5%,2)</f>
        <v>55660.34</v>
      </c>
      <c r="AD1113" s="31">
        <v>150000</v>
      </c>
      <c r="AE1113" s="31">
        <v>0</v>
      </c>
      <c r="AF1113" s="34">
        <v>2022</v>
      </c>
      <c r="AG1113" s="34">
        <v>2022</v>
      </c>
      <c r="AH1113" s="35">
        <v>2022</v>
      </c>
      <c r="AT1113" s="20" t="e">
        <f t="shared" si="243"/>
        <v>#N/A</v>
      </c>
      <c r="BZ1113" s="71"/>
    </row>
    <row r="1114" spans="1:78" ht="61.5" x14ac:dyDescent="0.85">
      <c r="B1114" s="24" t="s">
        <v>853</v>
      </c>
      <c r="C1114" s="166"/>
      <c r="D1114" s="31">
        <f>D1115+D1116</f>
        <v>3516578.96</v>
      </c>
      <c r="E1114" s="31">
        <f t="shared" ref="E1114:AE1114" si="246">E1115+E1116</f>
        <v>0</v>
      </c>
      <c r="F1114" s="31">
        <f t="shared" si="246"/>
        <v>0</v>
      </c>
      <c r="G1114" s="31">
        <f t="shared" si="246"/>
        <v>0</v>
      </c>
      <c r="H1114" s="31">
        <f t="shared" si="246"/>
        <v>0</v>
      </c>
      <c r="I1114" s="31">
        <f t="shared" si="246"/>
        <v>0</v>
      </c>
      <c r="J1114" s="31">
        <f t="shared" si="246"/>
        <v>0</v>
      </c>
      <c r="K1114" s="33">
        <f t="shared" si="246"/>
        <v>0</v>
      </c>
      <c r="L1114" s="31">
        <f t="shared" si="246"/>
        <v>0</v>
      </c>
      <c r="M1114" s="31">
        <f t="shared" si="246"/>
        <v>856</v>
      </c>
      <c r="N1114" s="31">
        <f t="shared" si="246"/>
        <v>3228156.6100000003</v>
      </c>
      <c r="O1114" s="31">
        <f t="shared" si="246"/>
        <v>0</v>
      </c>
      <c r="P1114" s="31">
        <f t="shared" si="246"/>
        <v>0</v>
      </c>
      <c r="Q1114" s="31">
        <f t="shared" si="246"/>
        <v>0</v>
      </c>
      <c r="R1114" s="31">
        <f t="shared" si="246"/>
        <v>0</v>
      </c>
      <c r="S1114" s="31">
        <f t="shared" si="246"/>
        <v>0</v>
      </c>
      <c r="T1114" s="31">
        <f t="shared" si="246"/>
        <v>0</v>
      </c>
      <c r="U1114" s="31">
        <f t="shared" si="246"/>
        <v>0</v>
      </c>
      <c r="V1114" s="31">
        <f t="shared" si="246"/>
        <v>0</v>
      </c>
      <c r="W1114" s="31">
        <f t="shared" si="246"/>
        <v>0</v>
      </c>
      <c r="X1114" s="31">
        <f t="shared" si="246"/>
        <v>0</v>
      </c>
      <c r="Y1114" s="31">
        <f t="shared" si="246"/>
        <v>0</v>
      </c>
      <c r="Z1114" s="31">
        <f t="shared" si="246"/>
        <v>0</v>
      </c>
      <c r="AA1114" s="31">
        <f t="shared" si="246"/>
        <v>0</v>
      </c>
      <c r="AB1114" s="31">
        <f t="shared" si="246"/>
        <v>0</v>
      </c>
      <c r="AC1114" s="31">
        <f t="shared" si="246"/>
        <v>48422.350000000006</v>
      </c>
      <c r="AD1114" s="31">
        <f t="shared" si="246"/>
        <v>240000</v>
      </c>
      <c r="AE1114" s="31">
        <f t="shared" si="246"/>
        <v>0</v>
      </c>
      <c r="AF1114" s="72" t="s">
        <v>776</v>
      </c>
      <c r="AG1114" s="72" t="s">
        <v>776</v>
      </c>
      <c r="AH1114" s="89" t="s">
        <v>776</v>
      </c>
      <c r="AT1114" s="20" t="e">
        <f t="shared" si="243"/>
        <v>#N/A</v>
      </c>
      <c r="BZ1114" s="71">
        <v>3516578.96</v>
      </c>
    </row>
    <row r="1115" spans="1:78" ht="61.5" x14ac:dyDescent="0.85">
      <c r="A1115" s="20">
        <v>1</v>
      </c>
      <c r="B1115" s="66">
        <f>SUBTOTAL(103,$A$948:A1115)</f>
        <v>148</v>
      </c>
      <c r="C1115" s="24" t="s">
        <v>719</v>
      </c>
      <c r="D1115" s="31">
        <f>E1115+F1115+G1115+H1115+I1115+J1115+L1115+N1115+P1115+R1115+T1115+U1115+V1115+W1115+X1115+Y1115+Z1115+AA1115+AB1115+AC1115+AD1115+AE1115</f>
        <v>1913529.37</v>
      </c>
      <c r="E1115" s="31">
        <v>0</v>
      </c>
      <c r="F1115" s="31">
        <v>0</v>
      </c>
      <c r="G1115" s="31">
        <v>0</v>
      </c>
      <c r="H1115" s="31">
        <v>0</v>
      </c>
      <c r="I1115" s="31">
        <v>0</v>
      </c>
      <c r="J1115" s="31">
        <v>0</v>
      </c>
      <c r="K1115" s="33">
        <v>0</v>
      </c>
      <c r="L1115" s="31">
        <v>0</v>
      </c>
      <c r="M1115" s="31">
        <v>440</v>
      </c>
      <c r="N1115" s="31">
        <v>1767024.01</v>
      </c>
      <c r="O1115" s="31">
        <v>0</v>
      </c>
      <c r="P1115" s="31">
        <v>0</v>
      </c>
      <c r="Q1115" s="31">
        <v>0</v>
      </c>
      <c r="R1115" s="31">
        <v>0</v>
      </c>
      <c r="S1115" s="31">
        <v>0</v>
      </c>
      <c r="T1115" s="31">
        <v>0</v>
      </c>
      <c r="U1115" s="31">
        <v>0</v>
      </c>
      <c r="V1115" s="31">
        <v>0</v>
      </c>
      <c r="W1115" s="31">
        <v>0</v>
      </c>
      <c r="X1115" s="31">
        <v>0</v>
      </c>
      <c r="Y1115" s="31">
        <v>0</v>
      </c>
      <c r="Z1115" s="31">
        <v>0</v>
      </c>
      <c r="AA1115" s="31">
        <v>0</v>
      </c>
      <c r="AB1115" s="31">
        <v>0</v>
      </c>
      <c r="AC1115" s="31">
        <f>ROUND(N1115*1.5%,2)</f>
        <v>26505.360000000001</v>
      </c>
      <c r="AD1115" s="31">
        <v>120000</v>
      </c>
      <c r="AE1115" s="31">
        <v>0</v>
      </c>
      <c r="AF1115" s="34">
        <v>2022</v>
      </c>
      <c r="AG1115" s="34">
        <v>2022</v>
      </c>
      <c r="AH1115" s="35">
        <v>2022</v>
      </c>
      <c r="AT1115" s="20" t="e">
        <f t="shared" si="243"/>
        <v>#N/A</v>
      </c>
      <c r="BZ1115" s="71"/>
    </row>
    <row r="1116" spans="1:78" ht="61.5" x14ac:dyDescent="0.85">
      <c r="A1116" s="20">
        <v>1</v>
      </c>
      <c r="B1116" s="66">
        <f>SUBTOTAL(103,$A$948:A1116)</f>
        <v>149</v>
      </c>
      <c r="C1116" s="24" t="s">
        <v>717</v>
      </c>
      <c r="D1116" s="31">
        <f>E1116+F1116+G1116+H1116+I1116+J1116+L1116+N1116+P1116+R1116+T1116+U1116+V1116+W1116+X1116+Y1116+Z1116+AA1116+AB1116+AC1116+AD1116+AE1116</f>
        <v>1603049.59</v>
      </c>
      <c r="E1116" s="31">
        <v>0</v>
      </c>
      <c r="F1116" s="31">
        <v>0</v>
      </c>
      <c r="G1116" s="31">
        <v>0</v>
      </c>
      <c r="H1116" s="31">
        <v>0</v>
      </c>
      <c r="I1116" s="31">
        <v>0</v>
      </c>
      <c r="J1116" s="31">
        <v>0</v>
      </c>
      <c r="K1116" s="33">
        <v>0</v>
      </c>
      <c r="L1116" s="31">
        <v>0</v>
      </c>
      <c r="M1116" s="31">
        <v>416</v>
      </c>
      <c r="N1116" s="31">
        <v>1461132.6</v>
      </c>
      <c r="O1116" s="31">
        <v>0</v>
      </c>
      <c r="P1116" s="31">
        <v>0</v>
      </c>
      <c r="Q1116" s="31">
        <v>0</v>
      </c>
      <c r="R1116" s="31">
        <v>0</v>
      </c>
      <c r="S1116" s="31">
        <v>0</v>
      </c>
      <c r="T1116" s="31">
        <v>0</v>
      </c>
      <c r="U1116" s="31">
        <v>0</v>
      </c>
      <c r="V1116" s="31">
        <v>0</v>
      </c>
      <c r="W1116" s="31">
        <v>0</v>
      </c>
      <c r="X1116" s="31">
        <v>0</v>
      </c>
      <c r="Y1116" s="31">
        <v>0</v>
      </c>
      <c r="Z1116" s="31">
        <v>0</v>
      </c>
      <c r="AA1116" s="31">
        <v>0</v>
      </c>
      <c r="AB1116" s="31">
        <v>0</v>
      </c>
      <c r="AC1116" s="31">
        <f>ROUND(N1116*1.5%,2)</f>
        <v>21916.99</v>
      </c>
      <c r="AD1116" s="31">
        <v>120000</v>
      </c>
      <c r="AE1116" s="31">
        <v>0</v>
      </c>
      <c r="AF1116" s="34">
        <v>2022</v>
      </c>
      <c r="AG1116" s="34">
        <v>2022</v>
      </c>
      <c r="AH1116" s="35">
        <v>2022</v>
      </c>
      <c r="AT1116" s="20" t="e">
        <f t="shared" si="243"/>
        <v>#N/A</v>
      </c>
      <c r="BZ1116" s="71"/>
    </row>
    <row r="1117" spans="1:78" ht="61.5" x14ac:dyDescent="0.85">
      <c r="B1117" s="24" t="s">
        <v>895</v>
      </c>
      <c r="C1117" s="24"/>
      <c r="D1117" s="31">
        <f>D1118</f>
        <v>3598749.4899999998</v>
      </c>
      <c r="E1117" s="31">
        <f t="shared" ref="E1117:AE1117" si="247">E1118</f>
        <v>0</v>
      </c>
      <c r="F1117" s="31">
        <f t="shared" si="247"/>
        <v>0</v>
      </c>
      <c r="G1117" s="31">
        <f t="shared" si="247"/>
        <v>0</v>
      </c>
      <c r="H1117" s="31">
        <f t="shared" si="247"/>
        <v>0</v>
      </c>
      <c r="I1117" s="31">
        <f t="shared" si="247"/>
        <v>0</v>
      </c>
      <c r="J1117" s="31">
        <f t="shared" si="247"/>
        <v>0</v>
      </c>
      <c r="K1117" s="33">
        <f t="shared" si="247"/>
        <v>0</v>
      </c>
      <c r="L1117" s="31">
        <f t="shared" si="247"/>
        <v>0</v>
      </c>
      <c r="M1117" s="31">
        <f t="shared" si="247"/>
        <v>975.8</v>
      </c>
      <c r="N1117" s="31">
        <f t="shared" si="247"/>
        <v>3427339.4</v>
      </c>
      <c r="O1117" s="31">
        <f t="shared" si="247"/>
        <v>0</v>
      </c>
      <c r="P1117" s="31">
        <f t="shared" si="247"/>
        <v>0</v>
      </c>
      <c r="Q1117" s="31">
        <f t="shared" si="247"/>
        <v>0</v>
      </c>
      <c r="R1117" s="31">
        <f t="shared" si="247"/>
        <v>0</v>
      </c>
      <c r="S1117" s="31">
        <f t="shared" si="247"/>
        <v>0</v>
      </c>
      <c r="T1117" s="31">
        <f t="shared" si="247"/>
        <v>0</v>
      </c>
      <c r="U1117" s="31">
        <f t="shared" si="247"/>
        <v>0</v>
      </c>
      <c r="V1117" s="31">
        <f t="shared" si="247"/>
        <v>0</v>
      </c>
      <c r="W1117" s="31">
        <f t="shared" si="247"/>
        <v>0</v>
      </c>
      <c r="X1117" s="31">
        <f t="shared" si="247"/>
        <v>0</v>
      </c>
      <c r="Y1117" s="31">
        <f t="shared" si="247"/>
        <v>0</v>
      </c>
      <c r="Z1117" s="31">
        <f t="shared" si="247"/>
        <v>0</v>
      </c>
      <c r="AA1117" s="31">
        <f t="shared" si="247"/>
        <v>0</v>
      </c>
      <c r="AB1117" s="31">
        <f t="shared" si="247"/>
        <v>0</v>
      </c>
      <c r="AC1117" s="31">
        <f t="shared" si="247"/>
        <v>51410.09</v>
      </c>
      <c r="AD1117" s="31">
        <f t="shared" si="247"/>
        <v>120000</v>
      </c>
      <c r="AE1117" s="31">
        <f t="shared" si="247"/>
        <v>0</v>
      </c>
      <c r="AF1117" s="72" t="s">
        <v>776</v>
      </c>
      <c r="AG1117" s="72" t="s">
        <v>776</v>
      </c>
      <c r="AH1117" s="89" t="s">
        <v>776</v>
      </c>
      <c r="AT1117" s="20" t="e">
        <f t="shared" si="243"/>
        <v>#N/A</v>
      </c>
      <c r="BZ1117" s="71">
        <v>3598749.4899999998</v>
      </c>
    </row>
    <row r="1118" spans="1:78" ht="61.5" x14ac:dyDescent="0.85">
      <c r="A1118" s="20">
        <v>1</v>
      </c>
      <c r="B1118" s="66">
        <f>SUBTOTAL(103,$A$948:A1118)</f>
        <v>150</v>
      </c>
      <c r="C1118" s="24" t="s">
        <v>725</v>
      </c>
      <c r="D1118" s="31">
        <f>E1118+F1118+G1118+H1118+I1118+J1118+L1118+N1118+P1118+R1118+T1118+U1118+V1118+W1118+X1118+Y1118+Z1118+AA1118+AB1118+AC1118+AD1118+AE1118</f>
        <v>3598749.4899999998</v>
      </c>
      <c r="E1118" s="31">
        <v>0</v>
      </c>
      <c r="F1118" s="31">
        <v>0</v>
      </c>
      <c r="G1118" s="31">
        <v>0</v>
      </c>
      <c r="H1118" s="31">
        <v>0</v>
      </c>
      <c r="I1118" s="31">
        <v>0</v>
      </c>
      <c r="J1118" s="31">
        <v>0</v>
      </c>
      <c r="K1118" s="33">
        <v>0</v>
      </c>
      <c r="L1118" s="31">
        <v>0</v>
      </c>
      <c r="M1118" s="31">
        <v>975.8</v>
      </c>
      <c r="N1118" s="31">
        <v>3427339.4</v>
      </c>
      <c r="O1118" s="31">
        <v>0</v>
      </c>
      <c r="P1118" s="31">
        <v>0</v>
      </c>
      <c r="Q1118" s="31">
        <v>0</v>
      </c>
      <c r="R1118" s="31">
        <v>0</v>
      </c>
      <c r="S1118" s="31">
        <v>0</v>
      </c>
      <c r="T1118" s="31">
        <v>0</v>
      </c>
      <c r="U1118" s="31">
        <v>0</v>
      </c>
      <c r="V1118" s="31">
        <v>0</v>
      </c>
      <c r="W1118" s="31">
        <v>0</v>
      </c>
      <c r="X1118" s="31">
        <v>0</v>
      </c>
      <c r="Y1118" s="31">
        <v>0</v>
      </c>
      <c r="Z1118" s="31">
        <v>0</v>
      </c>
      <c r="AA1118" s="31">
        <v>0</v>
      </c>
      <c r="AB1118" s="31">
        <v>0</v>
      </c>
      <c r="AC1118" s="31">
        <f>ROUND(N1118*1.5%,2)</f>
        <v>51410.09</v>
      </c>
      <c r="AD1118" s="31">
        <v>120000</v>
      </c>
      <c r="AE1118" s="31">
        <v>0</v>
      </c>
      <c r="AF1118" s="34">
        <v>2022</v>
      </c>
      <c r="AG1118" s="34">
        <v>2022</v>
      </c>
      <c r="AH1118" s="35">
        <v>2022</v>
      </c>
      <c r="AT1118" s="20" t="e">
        <f t="shared" si="243"/>
        <v>#N/A</v>
      </c>
      <c r="BZ1118" s="71"/>
    </row>
    <row r="1119" spans="1:78" ht="61.5" x14ac:dyDescent="0.85">
      <c r="B1119" s="24" t="s">
        <v>855</v>
      </c>
      <c r="C1119" s="24"/>
      <c r="D1119" s="31">
        <f>D1120</f>
        <v>3488946.79</v>
      </c>
      <c r="E1119" s="31">
        <f t="shared" ref="E1119:AE1119" si="248">E1120</f>
        <v>0</v>
      </c>
      <c r="F1119" s="31">
        <f t="shared" si="248"/>
        <v>0</v>
      </c>
      <c r="G1119" s="31">
        <f t="shared" si="248"/>
        <v>0</v>
      </c>
      <c r="H1119" s="31">
        <f t="shared" si="248"/>
        <v>0</v>
      </c>
      <c r="I1119" s="31">
        <f t="shared" si="248"/>
        <v>0</v>
      </c>
      <c r="J1119" s="31">
        <f t="shared" si="248"/>
        <v>0</v>
      </c>
      <c r="K1119" s="33">
        <f t="shared" si="248"/>
        <v>0</v>
      </c>
      <c r="L1119" s="31">
        <f t="shared" si="248"/>
        <v>0</v>
      </c>
      <c r="M1119" s="31">
        <f t="shared" si="248"/>
        <v>945</v>
      </c>
      <c r="N1119" s="31">
        <f t="shared" si="248"/>
        <v>3319159.4</v>
      </c>
      <c r="O1119" s="31">
        <f t="shared" si="248"/>
        <v>0</v>
      </c>
      <c r="P1119" s="31">
        <f t="shared" si="248"/>
        <v>0</v>
      </c>
      <c r="Q1119" s="31">
        <f t="shared" si="248"/>
        <v>0</v>
      </c>
      <c r="R1119" s="31">
        <f t="shared" si="248"/>
        <v>0</v>
      </c>
      <c r="S1119" s="31">
        <f t="shared" si="248"/>
        <v>0</v>
      </c>
      <c r="T1119" s="31">
        <f t="shared" si="248"/>
        <v>0</v>
      </c>
      <c r="U1119" s="31">
        <f t="shared" si="248"/>
        <v>0</v>
      </c>
      <c r="V1119" s="31">
        <f t="shared" si="248"/>
        <v>0</v>
      </c>
      <c r="W1119" s="31">
        <f t="shared" si="248"/>
        <v>0</v>
      </c>
      <c r="X1119" s="31">
        <f t="shared" si="248"/>
        <v>0</v>
      </c>
      <c r="Y1119" s="31">
        <f t="shared" si="248"/>
        <v>0</v>
      </c>
      <c r="Z1119" s="31">
        <f t="shared" si="248"/>
        <v>0</v>
      </c>
      <c r="AA1119" s="31">
        <f t="shared" si="248"/>
        <v>0</v>
      </c>
      <c r="AB1119" s="31">
        <f t="shared" si="248"/>
        <v>0</v>
      </c>
      <c r="AC1119" s="31">
        <f t="shared" si="248"/>
        <v>49787.39</v>
      </c>
      <c r="AD1119" s="31">
        <f t="shared" si="248"/>
        <v>120000</v>
      </c>
      <c r="AE1119" s="31">
        <f t="shared" si="248"/>
        <v>0</v>
      </c>
      <c r="AF1119" s="72" t="s">
        <v>776</v>
      </c>
      <c r="AG1119" s="72" t="s">
        <v>776</v>
      </c>
      <c r="AH1119" s="89" t="s">
        <v>776</v>
      </c>
      <c r="AT1119" s="20" t="e">
        <f t="shared" si="243"/>
        <v>#N/A</v>
      </c>
      <c r="BZ1119" s="71">
        <v>3488946.79</v>
      </c>
    </row>
    <row r="1120" spans="1:78" ht="61.5" x14ac:dyDescent="0.85">
      <c r="A1120" s="20">
        <v>1</v>
      </c>
      <c r="B1120" s="66">
        <f>SUBTOTAL(103,$A$948:A1120)</f>
        <v>151</v>
      </c>
      <c r="C1120" s="24" t="s">
        <v>723</v>
      </c>
      <c r="D1120" s="31">
        <f>E1120+F1120+G1120+H1120+I1120+J1120+L1120+N1120+P1120+R1120+T1120+U1120+V1120+W1120+X1120+Y1120+Z1120+AA1120+AB1120+AC1120+AD1120+AE1120</f>
        <v>3488946.79</v>
      </c>
      <c r="E1120" s="31">
        <v>0</v>
      </c>
      <c r="F1120" s="31">
        <v>0</v>
      </c>
      <c r="G1120" s="31">
        <v>0</v>
      </c>
      <c r="H1120" s="31">
        <v>0</v>
      </c>
      <c r="I1120" s="31">
        <v>0</v>
      </c>
      <c r="J1120" s="31">
        <v>0</v>
      </c>
      <c r="K1120" s="33">
        <v>0</v>
      </c>
      <c r="L1120" s="31">
        <v>0</v>
      </c>
      <c r="M1120" s="31">
        <v>945</v>
      </c>
      <c r="N1120" s="31">
        <v>3319159.4</v>
      </c>
      <c r="O1120" s="31">
        <v>0</v>
      </c>
      <c r="P1120" s="31">
        <v>0</v>
      </c>
      <c r="Q1120" s="31">
        <v>0</v>
      </c>
      <c r="R1120" s="31">
        <v>0</v>
      </c>
      <c r="S1120" s="31">
        <v>0</v>
      </c>
      <c r="T1120" s="31">
        <v>0</v>
      </c>
      <c r="U1120" s="31">
        <v>0</v>
      </c>
      <c r="V1120" s="31">
        <v>0</v>
      </c>
      <c r="W1120" s="31">
        <v>0</v>
      </c>
      <c r="X1120" s="31">
        <v>0</v>
      </c>
      <c r="Y1120" s="31">
        <v>0</v>
      </c>
      <c r="Z1120" s="31">
        <v>0</v>
      </c>
      <c r="AA1120" s="31">
        <v>0</v>
      </c>
      <c r="AB1120" s="31">
        <v>0</v>
      </c>
      <c r="AC1120" s="31">
        <f>ROUND(N1120*1.5%,2)</f>
        <v>49787.39</v>
      </c>
      <c r="AD1120" s="31">
        <v>120000</v>
      </c>
      <c r="AE1120" s="31">
        <v>0</v>
      </c>
      <c r="AF1120" s="34">
        <v>2022</v>
      </c>
      <c r="AG1120" s="34">
        <v>2022</v>
      </c>
      <c r="AH1120" s="35">
        <v>2022</v>
      </c>
      <c r="AT1120" s="20" t="e">
        <f t="shared" si="243"/>
        <v>#N/A</v>
      </c>
      <c r="BZ1120" s="71"/>
    </row>
    <row r="1121" spans="1:80" ht="61.5" x14ac:dyDescent="0.85">
      <c r="B1121" s="24" t="s">
        <v>913</v>
      </c>
      <c r="C1121" s="24"/>
      <c r="D1121" s="31">
        <f>D1122</f>
        <v>1538879.17</v>
      </c>
      <c r="E1121" s="31">
        <f t="shared" ref="E1121:AE1121" si="249">E1122</f>
        <v>0</v>
      </c>
      <c r="F1121" s="31">
        <f t="shared" si="249"/>
        <v>0</v>
      </c>
      <c r="G1121" s="31">
        <f t="shared" si="249"/>
        <v>0</v>
      </c>
      <c r="H1121" s="31">
        <f t="shared" si="249"/>
        <v>0</v>
      </c>
      <c r="I1121" s="31">
        <f t="shared" si="249"/>
        <v>0</v>
      </c>
      <c r="J1121" s="31">
        <f t="shared" si="249"/>
        <v>0</v>
      </c>
      <c r="K1121" s="33">
        <f t="shared" si="249"/>
        <v>0</v>
      </c>
      <c r="L1121" s="31">
        <f t="shared" si="249"/>
        <v>0</v>
      </c>
      <c r="M1121" s="31">
        <f t="shared" si="249"/>
        <v>398</v>
      </c>
      <c r="N1121" s="31">
        <f t="shared" si="249"/>
        <v>1397910.51</v>
      </c>
      <c r="O1121" s="31">
        <f t="shared" si="249"/>
        <v>0</v>
      </c>
      <c r="P1121" s="31">
        <f t="shared" si="249"/>
        <v>0</v>
      </c>
      <c r="Q1121" s="31">
        <f t="shared" si="249"/>
        <v>0</v>
      </c>
      <c r="R1121" s="31">
        <f t="shared" si="249"/>
        <v>0</v>
      </c>
      <c r="S1121" s="31">
        <f t="shared" si="249"/>
        <v>0</v>
      </c>
      <c r="T1121" s="31">
        <f t="shared" si="249"/>
        <v>0</v>
      </c>
      <c r="U1121" s="31">
        <f t="shared" si="249"/>
        <v>0</v>
      </c>
      <c r="V1121" s="31">
        <f t="shared" si="249"/>
        <v>0</v>
      </c>
      <c r="W1121" s="31">
        <f t="shared" si="249"/>
        <v>0</v>
      </c>
      <c r="X1121" s="31">
        <f t="shared" si="249"/>
        <v>0</v>
      </c>
      <c r="Y1121" s="31">
        <f t="shared" si="249"/>
        <v>0</v>
      </c>
      <c r="Z1121" s="31">
        <f t="shared" si="249"/>
        <v>0</v>
      </c>
      <c r="AA1121" s="31">
        <f t="shared" si="249"/>
        <v>0</v>
      </c>
      <c r="AB1121" s="31">
        <f t="shared" si="249"/>
        <v>0</v>
      </c>
      <c r="AC1121" s="31">
        <f t="shared" si="249"/>
        <v>20968.66</v>
      </c>
      <c r="AD1121" s="31">
        <f t="shared" si="249"/>
        <v>120000</v>
      </c>
      <c r="AE1121" s="31">
        <f t="shared" si="249"/>
        <v>0</v>
      </c>
      <c r="AF1121" s="72" t="s">
        <v>776</v>
      </c>
      <c r="AG1121" s="72" t="s">
        <v>776</v>
      </c>
      <c r="AH1121" s="89" t="s">
        <v>776</v>
      </c>
      <c r="AT1121" s="20" t="e">
        <f t="shared" si="243"/>
        <v>#N/A</v>
      </c>
      <c r="BZ1121" s="71">
        <v>1538879.17</v>
      </c>
    </row>
    <row r="1122" spans="1:80" ht="61.5" x14ac:dyDescent="0.85">
      <c r="A1122" s="20">
        <v>1</v>
      </c>
      <c r="B1122" s="66">
        <f>SUBTOTAL(103,$A$948:A1122)</f>
        <v>152</v>
      </c>
      <c r="C1122" s="24" t="s">
        <v>720</v>
      </c>
      <c r="D1122" s="31">
        <f>E1122+F1122+G1122+H1122+I1122+J1122+L1122+N1122+P1122+R1122+T1122+U1122+V1122+W1122+X1122+Y1122+Z1122+AA1122+AB1122+AC1122+AD1122+AE1122</f>
        <v>1538879.17</v>
      </c>
      <c r="E1122" s="31">
        <v>0</v>
      </c>
      <c r="F1122" s="31">
        <v>0</v>
      </c>
      <c r="G1122" s="31">
        <v>0</v>
      </c>
      <c r="H1122" s="31">
        <v>0</v>
      </c>
      <c r="I1122" s="31">
        <v>0</v>
      </c>
      <c r="J1122" s="31">
        <v>0</v>
      </c>
      <c r="K1122" s="33">
        <v>0</v>
      </c>
      <c r="L1122" s="31">
        <v>0</v>
      </c>
      <c r="M1122" s="31">
        <v>398</v>
      </c>
      <c r="N1122" s="31">
        <v>1397910.51</v>
      </c>
      <c r="O1122" s="31">
        <v>0</v>
      </c>
      <c r="P1122" s="31">
        <v>0</v>
      </c>
      <c r="Q1122" s="31">
        <v>0</v>
      </c>
      <c r="R1122" s="31">
        <v>0</v>
      </c>
      <c r="S1122" s="31">
        <v>0</v>
      </c>
      <c r="T1122" s="31">
        <v>0</v>
      </c>
      <c r="U1122" s="31">
        <v>0</v>
      </c>
      <c r="V1122" s="31">
        <v>0</v>
      </c>
      <c r="W1122" s="31">
        <v>0</v>
      </c>
      <c r="X1122" s="31">
        <v>0</v>
      </c>
      <c r="Y1122" s="31">
        <v>0</v>
      </c>
      <c r="Z1122" s="31">
        <v>0</v>
      </c>
      <c r="AA1122" s="31">
        <v>0</v>
      </c>
      <c r="AB1122" s="31">
        <v>0</v>
      </c>
      <c r="AC1122" s="31">
        <f>ROUND(N1122*1.5%,2)</f>
        <v>20968.66</v>
      </c>
      <c r="AD1122" s="31">
        <v>120000</v>
      </c>
      <c r="AE1122" s="31">
        <v>0</v>
      </c>
      <c r="AF1122" s="34">
        <v>2022</v>
      </c>
      <c r="AG1122" s="34">
        <v>2022</v>
      </c>
      <c r="AH1122" s="35">
        <v>2022</v>
      </c>
      <c r="AT1122" s="20" t="e">
        <f t="shared" si="243"/>
        <v>#N/A</v>
      </c>
      <c r="BZ1122" s="71"/>
    </row>
    <row r="1123" spans="1:80" ht="61.5" x14ac:dyDescent="0.85">
      <c r="B1123" s="24" t="s">
        <v>856</v>
      </c>
      <c r="C1123" s="166"/>
      <c r="D1123" s="31">
        <f>SUM(D1124:D1129)</f>
        <v>28415186.599999998</v>
      </c>
      <c r="E1123" s="31">
        <f t="shared" ref="E1123:AE1123" si="250">SUM(E1124:E1129)</f>
        <v>0</v>
      </c>
      <c r="F1123" s="31">
        <f t="shared" si="250"/>
        <v>0</v>
      </c>
      <c r="G1123" s="31">
        <f t="shared" si="250"/>
        <v>0</v>
      </c>
      <c r="H1123" s="31">
        <f t="shared" si="250"/>
        <v>0</v>
      </c>
      <c r="I1123" s="31">
        <f t="shared" si="250"/>
        <v>0</v>
      </c>
      <c r="J1123" s="31">
        <f t="shared" si="250"/>
        <v>0</v>
      </c>
      <c r="K1123" s="33">
        <f t="shared" si="250"/>
        <v>0</v>
      </c>
      <c r="L1123" s="31">
        <f t="shared" si="250"/>
        <v>0</v>
      </c>
      <c r="M1123" s="31">
        <f t="shared" si="250"/>
        <v>4527.6000000000004</v>
      </c>
      <c r="N1123" s="31">
        <f t="shared" si="250"/>
        <v>24236969.890000004</v>
      </c>
      <c r="O1123" s="31">
        <f t="shared" si="250"/>
        <v>0</v>
      </c>
      <c r="P1123" s="31">
        <f t="shared" si="250"/>
        <v>0</v>
      </c>
      <c r="Q1123" s="31">
        <f t="shared" si="250"/>
        <v>0</v>
      </c>
      <c r="R1123" s="31">
        <f t="shared" si="250"/>
        <v>0</v>
      </c>
      <c r="S1123" s="31">
        <f t="shared" si="250"/>
        <v>0</v>
      </c>
      <c r="T1123" s="31">
        <f t="shared" si="250"/>
        <v>0</v>
      </c>
      <c r="U1123" s="31">
        <f t="shared" si="250"/>
        <v>2812475.02</v>
      </c>
      <c r="V1123" s="31">
        <f t="shared" si="250"/>
        <v>0</v>
      </c>
      <c r="W1123" s="31">
        <f t="shared" si="250"/>
        <v>0</v>
      </c>
      <c r="X1123" s="31">
        <f t="shared" si="250"/>
        <v>0</v>
      </c>
      <c r="Y1123" s="31">
        <f t="shared" si="250"/>
        <v>0</v>
      </c>
      <c r="Z1123" s="31">
        <f t="shared" si="250"/>
        <v>0</v>
      </c>
      <c r="AA1123" s="31">
        <f t="shared" si="250"/>
        <v>0</v>
      </c>
      <c r="AB1123" s="31">
        <f t="shared" si="250"/>
        <v>0</v>
      </c>
      <c r="AC1123" s="31">
        <f t="shared" si="250"/>
        <v>405741.69</v>
      </c>
      <c r="AD1123" s="31">
        <f t="shared" si="250"/>
        <v>960000</v>
      </c>
      <c r="AE1123" s="31">
        <f t="shared" si="250"/>
        <v>0</v>
      </c>
      <c r="AF1123" s="72" t="s">
        <v>776</v>
      </c>
      <c r="AG1123" s="72" t="s">
        <v>776</v>
      </c>
      <c r="AH1123" s="89" t="s">
        <v>776</v>
      </c>
      <c r="AT1123" s="20" t="e">
        <f t="shared" si="243"/>
        <v>#N/A</v>
      </c>
      <c r="BZ1123" s="31">
        <v>28415186.599999998</v>
      </c>
      <c r="CA1123" s="31"/>
      <c r="CB1123" s="31">
        <f>BZ1123-D1123</f>
        <v>0</v>
      </c>
    </row>
    <row r="1124" spans="1:80" ht="61.5" x14ac:dyDescent="0.85">
      <c r="A1124" s="20">
        <v>1</v>
      </c>
      <c r="B1124" s="66">
        <f>SUBTOTAL(103,$A$948:A1124)</f>
        <v>153</v>
      </c>
      <c r="C1124" s="24" t="s">
        <v>135</v>
      </c>
      <c r="D1124" s="31">
        <f t="shared" ref="D1124:D1129" si="251">E1124+F1124+G1124+H1124+I1124+J1124+L1124+N1124+P1124+R1124+T1124+U1124+V1124+W1124+X1124+Y1124+Z1124+AA1124+AB1124+AC1124+AD1124+AE1124</f>
        <v>6533531.75</v>
      </c>
      <c r="E1124" s="31">
        <v>0</v>
      </c>
      <c r="F1124" s="31">
        <v>0</v>
      </c>
      <c r="G1124" s="31">
        <v>0</v>
      </c>
      <c r="H1124" s="31">
        <v>0</v>
      </c>
      <c r="I1124" s="31">
        <v>0</v>
      </c>
      <c r="J1124" s="31">
        <v>0</v>
      </c>
      <c r="K1124" s="33">
        <v>0</v>
      </c>
      <c r="L1124" s="31">
        <v>0</v>
      </c>
      <c r="M1124" s="31">
        <v>1175</v>
      </c>
      <c r="N1124" s="31">
        <f>5610837.44+648799.75</f>
        <v>6259637.1900000004</v>
      </c>
      <c r="O1124" s="31">
        <v>0</v>
      </c>
      <c r="P1124" s="31">
        <v>0</v>
      </c>
      <c r="Q1124" s="31">
        <v>0</v>
      </c>
      <c r="R1124" s="31">
        <v>0</v>
      </c>
      <c r="S1124" s="31">
        <v>0</v>
      </c>
      <c r="T1124" s="31">
        <v>0</v>
      </c>
      <c r="U1124" s="31">
        <v>0</v>
      </c>
      <c r="V1124" s="31">
        <v>0</v>
      </c>
      <c r="W1124" s="31">
        <v>0</v>
      </c>
      <c r="X1124" s="31">
        <v>0</v>
      </c>
      <c r="Y1124" s="31">
        <v>0</v>
      </c>
      <c r="Z1124" s="31">
        <v>0</v>
      </c>
      <c r="AA1124" s="31">
        <v>0</v>
      </c>
      <c r="AB1124" s="31">
        <v>0</v>
      </c>
      <c r="AC1124" s="31">
        <f>ROUND(N1124*1.5%,2)</f>
        <v>93894.56</v>
      </c>
      <c r="AD1124" s="31">
        <v>180000</v>
      </c>
      <c r="AE1124" s="31">
        <v>0</v>
      </c>
      <c r="AF1124" s="34">
        <v>2022</v>
      </c>
      <c r="AG1124" s="34">
        <v>2022</v>
      </c>
      <c r="AH1124" s="35">
        <v>2022</v>
      </c>
      <c r="AT1124" s="20" t="e">
        <f t="shared" si="243"/>
        <v>#N/A</v>
      </c>
      <c r="BZ1124" s="71"/>
    </row>
    <row r="1125" spans="1:80" ht="61.5" x14ac:dyDescent="0.85">
      <c r="A1125" s="20">
        <v>1</v>
      </c>
      <c r="B1125" s="66">
        <f>SUBTOTAL(103,$A$948:A1125)</f>
        <v>154</v>
      </c>
      <c r="C1125" s="24" t="s">
        <v>132</v>
      </c>
      <c r="D1125" s="31">
        <f t="shared" si="251"/>
        <v>4210000</v>
      </c>
      <c r="E1125" s="31">
        <v>0</v>
      </c>
      <c r="F1125" s="31">
        <v>0</v>
      </c>
      <c r="G1125" s="31">
        <v>0</v>
      </c>
      <c r="H1125" s="31">
        <v>0</v>
      </c>
      <c r="I1125" s="31">
        <v>0</v>
      </c>
      <c r="J1125" s="31">
        <v>0</v>
      </c>
      <c r="K1125" s="33">
        <v>0</v>
      </c>
      <c r="L1125" s="31">
        <v>0</v>
      </c>
      <c r="M1125" s="31">
        <v>748</v>
      </c>
      <c r="N1125" s="31">
        <v>4000000</v>
      </c>
      <c r="O1125" s="31">
        <v>0</v>
      </c>
      <c r="P1125" s="31">
        <v>0</v>
      </c>
      <c r="Q1125" s="31">
        <v>0</v>
      </c>
      <c r="R1125" s="31">
        <v>0</v>
      </c>
      <c r="S1125" s="31">
        <v>0</v>
      </c>
      <c r="T1125" s="31">
        <v>0</v>
      </c>
      <c r="U1125" s="31">
        <v>0</v>
      </c>
      <c r="V1125" s="31">
        <v>0</v>
      </c>
      <c r="W1125" s="31">
        <v>0</v>
      </c>
      <c r="X1125" s="31">
        <v>0</v>
      </c>
      <c r="Y1125" s="31">
        <v>0</v>
      </c>
      <c r="Z1125" s="31">
        <v>0</v>
      </c>
      <c r="AA1125" s="31">
        <v>0</v>
      </c>
      <c r="AB1125" s="31">
        <v>0</v>
      </c>
      <c r="AC1125" s="31">
        <f>ROUND(N1125*1.5%,2)</f>
        <v>60000</v>
      </c>
      <c r="AD1125" s="31">
        <v>150000</v>
      </c>
      <c r="AE1125" s="31">
        <v>0</v>
      </c>
      <c r="AF1125" s="34">
        <v>2022</v>
      </c>
      <c r="AG1125" s="34">
        <v>2022</v>
      </c>
      <c r="AH1125" s="35">
        <v>2022</v>
      </c>
      <c r="AT1125" s="20" t="e">
        <f t="shared" si="243"/>
        <v>#N/A</v>
      </c>
      <c r="BZ1125" s="71"/>
    </row>
    <row r="1126" spans="1:80" ht="61.5" x14ac:dyDescent="0.85">
      <c r="A1126" s="20">
        <v>1</v>
      </c>
      <c r="B1126" s="66">
        <f>SUBTOTAL(103,$A$948:A1126)</f>
        <v>155</v>
      </c>
      <c r="C1126" s="24" t="s">
        <v>137</v>
      </c>
      <c r="D1126" s="31">
        <f t="shared" si="251"/>
        <v>4587373.3600000003</v>
      </c>
      <c r="E1126" s="31">
        <v>0</v>
      </c>
      <c r="F1126" s="31">
        <v>0</v>
      </c>
      <c r="G1126" s="31">
        <v>0</v>
      </c>
      <c r="H1126" s="31">
        <v>0</v>
      </c>
      <c r="I1126" s="31">
        <v>0</v>
      </c>
      <c r="J1126" s="31">
        <v>0</v>
      </c>
      <c r="K1126" s="33">
        <v>0</v>
      </c>
      <c r="L1126" s="31">
        <v>0</v>
      </c>
      <c r="M1126" s="31">
        <v>825</v>
      </c>
      <c r="N1126" s="31">
        <f>3916256.16+455540.25</f>
        <v>4371796.41</v>
      </c>
      <c r="O1126" s="31">
        <v>0</v>
      </c>
      <c r="P1126" s="31">
        <v>0</v>
      </c>
      <c r="Q1126" s="31">
        <v>0</v>
      </c>
      <c r="R1126" s="31">
        <v>0</v>
      </c>
      <c r="S1126" s="31">
        <v>0</v>
      </c>
      <c r="T1126" s="31">
        <v>0</v>
      </c>
      <c r="U1126" s="31">
        <v>0</v>
      </c>
      <c r="V1126" s="31">
        <v>0</v>
      </c>
      <c r="W1126" s="31">
        <v>0</v>
      </c>
      <c r="X1126" s="31">
        <v>0</v>
      </c>
      <c r="Y1126" s="31">
        <v>0</v>
      </c>
      <c r="Z1126" s="31">
        <v>0</v>
      </c>
      <c r="AA1126" s="31">
        <v>0</v>
      </c>
      <c r="AB1126" s="31">
        <v>0</v>
      </c>
      <c r="AC1126" s="31">
        <f>ROUND(N1126*1.5%,2)</f>
        <v>65576.95</v>
      </c>
      <c r="AD1126" s="31">
        <v>150000</v>
      </c>
      <c r="AE1126" s="31">
        <v>0</v>
      </c>
      <c r="AF1126" s="34">
        <v>2022</v>
      </c>
      <c r="AG1126" s="34">
        <v>2022</v>
      </c>
      <c r="AH1126" s="35">
        <v>2022</v>
      </c>
      <c r="AT1126" s="20" t="e">
        <f t="shared" si="243"/>
        <v>#N/A</v>
      </c>
      <c r="BZ1126" s="71"/>
    </row>
    <row r="1127" spans="1:80" ht="61.5" x14ac:dyDescent="0.85">
      <c r="A1127" s="20">
        <v>1</v>
      </c>
      <c r="B1127" s="66">
        <f>SUBTOTAL(103,$A$948:A1127)</f>
        <v>156</v>
      </c>
      <c r="C1127" s="24" t="s">
        <v>133</v>
      </c>
      <c r="D1127" s="31">
        <f t="shared" si="251"/>
        <v>5599375.7199999997</v>
      </c>
      <c r="E1127" s="31">
        <v>0</v>
      </c>
      <c r="F1127" s="31">
        <v>0</v>
      </c>
      <c r="G1127" s="31">
        <v>0</v>
      </c>
      <c r="H1127" s="31">
        <v>0</v>
      </c>
      <c r="I1127" s="31">
        <v>0</v>
      </c>
      <c r="J1127" s="31">
        <v>0</v>
      </c>
      <c r="K1127" s="33">
        <v>0</v>
      </c>
      <c r="L1127" s="31">
        <v>0</v>
      </c>
      <c r="M1127" s="31">
        <v>1007</v>
      </c>
      <c r="N1127" s="31">
        <f>4783251.23+556035.19</f>
        <v>5339286.42</v>
      </c>
      <c r="O1127" s="31">
        <v>0</v>
      </c>
      <c r="P1127" s="31">
        <v>0</v>
      </c>
      <c r="Q1127" s="31">
        <v>0</v>
      </c>
      <c r="R1127" s="31">
        <v>0</v>
      </c>
      <c r="S1127" s="31">
        <v>0</v>
      </c>
      <c r="T1127" s="31">
        <v>0</v>
      </c>
      <c r="U1127" s="31">
        <v>0</v>
      </c>
      <c r="V1127" s="31">
        <v>0</v>
      </c>
      <c r="W1127" s="31">
        <v>0</v>
      </c>
      <c r="X1127" s="31">
        <v>0</v>
      </c>
      <c r="Y1127" s="31">
        <v>0</v>
      </c>
      <c r="Z1127" s="31">
        <v>0</v>
      </c>
      <c r="AA1127" s="31">
        <v>0</v>
      </c>
      <c r="AB1127" s="31">
        <v>0</v>
      </c>
      <c r="AC1127" s="31">
        <f>ROUND(N1127*1.5%,2)</f>
        <v>80089.3</v>
      </c>
      <c r="AD1127" s="31">
        <v>180000</v>
      </c>
      <c r="AE1127" s="31">
        <v>0</v>
      </c>
      <c r="AF1127" s="34">
        <v>2022</v>
      </c>
      <c r="AG1127" s="34">
        <v>2022</v>
      </c>
      <c r="AH1127" s="35">
        <v>2022</v>
      </c>
      <c r="AT1127" s="20" t="e">
        <f t="shared" si="243"/>
        <v>#N/A</v>
      </c>
      <c r="BZ1127" s="71"/>
    </row>
    <row r="1128" spans="1:80" ht="61.5" x14ac:dyDescent="0.85">
      <c r="A1128" s="20">
        <v>1</v>
      </c>
      <c r="B1128" s="66">
        <f>SUBTOTAL(103,$A$948:A1128)</f>
        <v>157</v>
      </c>
      <c r="C1128" s="24" t="s">
        <v>134</v>
      </c>
      <c r="D1128" s="31">
        <f t="shared" si="251"/>
        <v>4480243.62</v>
      </c>
      <c r="E1128" s="31">
        <v>0</v>
      </c>
      <c r="F1128" s="31">
        <v>0</v>
      </c>
      <c r="G1128" s="31">
        <v>0</v>
      </c>
      <c r="H1128" s="31">
        <v>0</v>
      </c>
      <c r="I1128" s="31">
        <v>0</v>
      </c>
      <c r="J1128" s="31">
        <v>0</v>
      </c>
      <c r="K1128" s="33">
        <v>0</v>
      </c>
      <c r="L1128" s="31">
        <v>0</v>
      </c>
      <c r="M1128" s="31">
        <v>772.6</v>
      </c>
      <c r="N1128" s="31">
        <f>3201418.72+426606.54+638224.61</f>
        <v>4266249.87</v>
      </c>
      <c r="O1128" s="31">
        <v>0</v>
      </c>
      <c r="P1128" s="31">
        <v>0</v>
      </c>
      <c r="Q1128" s="31">
        <v>0</v>
      </c>
      <c r="R1128" s="31">
        <v>0</v>
      </c>
      <c r="S1128" s="31">
        <v>0</v>
      </c>
      <c r="T1128" s="31">
        <v>0</v>
      </c>
      <c r="U1128" s="31">
        <v>0</v>
      </c>
      <c r="V1128" s="31">
        <v>0</v>
      </c>
      <c r="W1128" s="31">
        <v>0</v>
      </c>
      <c r="X1128" s="31">
        <v>0</v>
      </c>
      <c r="Y1128" s="31">
        <v>0</v>
      </c>
      <c r="Z1128" s="31">
        <v>0</v>
      </c>
      <c r="AA1128" s="31">
        <v>0</v>
      </c>
      <c r="AB1128" s="31">
        <v>0</v>
      </c>
      <c r="AC1128" s="31">
        <f>ROUND(N1128*1.5%,2)</f>
        <v>63993.75</v>
      </c>
      <c r="AD1128" s="31">
        <v>150000</v>
      </c>
      <c r="AE1128" s="31">
        <v>0</v>
      </c>
      <c r="AF1128" s="34">
        <v>2022</v>
      </c>
      <c r="AG1128" s="34">
        <v>2022</v>
      </c>
      <c r="AH1128" s="35">
        <v>2022</v>
      </c>
      <c r="AT1128" s="20" t="e">
        <f t="shared" si="243"/>
        <v>#N/A</v>
      </c>
      <c r="BZ1128" s="71"/>
    </row>
    <row r="1129" spans="1:80" ht="61.5" x14ac:dyDescent="0.85">
      <c r="A1129" s="20">
        <v>1</v>
      </c>
      <c r="B1129" s="66">
        <f>SUBTOTAL(103,$A$948:A1129)</f>
        <v>158</v>
      </c>
      <c r="C1129" s="24" t="s">
        <v>1647</v>
      </c>
      <c r="D1129" s="31">
        <f t="shared" si="251"/>
        <v>3004662.15</v>
      </c>
      <c r="E1129" s="31">
        <v>0</v>
      </c>
      <c r="F1129" s="31">
        <v>0</v>
      </c>
      <c r="G1129" s="31">
        <v>0</v>
      </c>
      <c r="H1129" s="31">
        <v>0</v>
      </c>
      <c r="I1129" s="31">
        <v>0</v>
      </c>
      <c r="J1129" s="31">
        <v>0</v>
      </c>
      <c r="K1129" s="33">
        <v>0</v>
      </c>
      <c r="L1129" s="31">
        <v>0</v>
      </c>
      <c r="M1129" s="31">
        <v>0</v>
      </c>
      <c r="N1129" s="31">
        <v>0</v>
      </c>
      <c r="O1129" s="31">
        <v>0</v>
      </c>
      <c r="P1129" s="31">
        <v>0</v>
      </c>
      <c r="Q1129" s="31">
        <v>0</v>
      </c>
      <c r="R1129" s="31">
        <v>0</v>
      </c>
      <c r="S1129" s="31">
        <v>0</v>
      </c>
      <c r="T1129" s="31">
        <v>0</v>
      </c>
      <c r="U1129" s="31">
        <f>2786886.72+25588.3</f>
        <v>2812475.02</v>
      </c>
      <c r="V1129" s="31">
        <v>0</v>
      </c>
      <c r="W1129" s="31">
        <v>0</v>
      </c>
      <c r="X1129" s="31">
        <v>0</v>
      </c>
      <c r="Y1129" s="31">
        <v>0</v>
      </c>
      <c r="Z1129" s="31">
        <v>0</v>
      </c>
      <c r="AA1129" s="31">
        <v>0</v>
      </c>
      <c r="AB1129" s="31">
        <v>0</v>
      </c>
      <c r="AC1129" s="31">
        <f>ROUND(U1129*1.5%,2)</f>
        <v>42187.13</v>
      </c>
      <c r="AD1129" s="31">
        <v>150000</v>
      </c>
      <c r="AE1129" s="31">
        <v>0</v>
      </c>
      <c r="AF1129" s="34">
        <v>2022</v>
      </c>
      <c r="AG1129" s="34">
        <v>2022</v>
      </c>
      <c r="AH1129" s="35">
        <v>2022</v>
      </c>
      <c r="BZ1129" s="71"/>
    </row>
    <row r="1130" spans="1:80" ht="61.5" x14ac:dyDescent="0.85">
      <c r="B1130" s="24" t="s">
        <v>862</v>
      </c>
      <c r="C1130" s="166"/>
      <c r="D1130" s="31">
        <f>D1131+D1132</f>
        <v>5777967.8699999992</v>
      </c>
      <c r="E1130" s="31">
        <f t="shared" ref="E1130:AE1130" si="252">E1131+E1132</f>
        <v>0</v>
      </c>
      <c r="F1130" s="31">
        <f t="shared" si="252"/>
        <v>0</v>
      </c>
      <c r="G1130" s="31">
        <f t="shared" si="252"/>
        <v>0</v>
      </c>
      <c r="H1130" s="31">
        <f t="shared" si="252"/>
        <v>0</v>
      </c>
      <c r="I1130" s="31">
        <f t="shared" si="252"/>
        <v>0</v>
      </c>
      <c r="J1130" s="31">
        <f t="shared" si="252"/>
        <v>0</v>
      </c>
      <c r="K1130" s="33">
        <f t="shared" si="252"/>
        <v>0</v>
      </c>
      <c r="L1130" s="31">
        <f t="shared" si="252"/>
        <v>0</v>
      </c>
      <c r="M1130" s="31">
        <f t="shared" si="252"/>
        <v>630</v>
      </c>
      <c r="N1130" s="31">
        <f t="shared" si="252"/>
        <v>3258269.85</v>
      </c>
      <c r="O1130" s="31">
        <f t="shared" si="252"/>
        <v>0</v>
      </c>
      <c r="P1130" s="31">
        <f t="shared" si="252"/>
        <v>0</v>
      </c>
      <c r="Q1130" s="31">
        <f t="shared" si="252"/>
        <v>437</v>
      </c>
      <c r="R1130" s="31">
        <f t="shared" si="252"/>
        <v>2158447.2599999998</v>
      </c>
      <c r="S1130" s="31">
        <f t="shared" si="252"/>
        <v>0</v>
      </c>
      <c r="T1130" s="31">
        <f t="shared" si="252"/>
        <v>0</v>
      </c>
      <c r="U1130" s="31">
        <f t="shared" si="252"/>
        <v>0</v>
      </c>
      <c r="V1130" s="31">
        <f t="shared" si="252"/>
        <v>0</v>
      </c>
      <c r="W1130" s="31">
        <f t="shared" si="252"/>
        <v>0</v>
      </c>
      <c r="X1130" s="31">
        <f t="shared" si="252"/>
        <v>0</v>
      </c>
      <c r="Y1130" s="31">
        <f t="shared" si="252"/>
        <v>0</v>
      </c>
      <c r="Z1130" s="31">
        <f t="shared" si="252"/>
        <v>0</v>
      </c>
      <c r="AA1130" s="31">
        <f t="shared" si="252"/>
        <v>0</v>
      </c>
      <c r="AB1130" s="31">
        <f t="shared" si="252"/>
        <v>0</v>
      </c>
      <c r="AC1130" s="31">
        <f t="shared" si="252"/>
        <v>81250.760000000009</v>
      </c>
      <c r="AD1130" s="31">
        <f t="shared" si="252"/>
        <v>280000</v>
      </c>
      <c r="AE1130" s="31">
        <f t="shared" si="252"/>
        <v>0</v>
      </c>
      <c r="AF1130" s="168" t="s">
        <v>776</v>
      </c>
      <c r="AG1130" s="168" t="s">
        <v>776</v>
      </c>
      <c r="AH1130" s="169" t="s">
        <v>776</v>
      </c>
      <c r="AT1130" s="20" t="e">
        <f t="shared" ref="AT1130:AT1172" si="253">VLOOKUP(C1130,AW:AX,2,FALSE)</f>
        <v>#N/A</v>
      </c>
      <c r="BZ1130" s="71">
        <v>5777967.8699999992</v>
      </c>
    </row>
    <row r="1131" spans="1:80" ht="61.5" x14ac:dyDescent="0.85">
      <c r="A1131" s="20">
        <v>1</v>
      </c>
      <c r="B1131" s="66">
        <f>SUBTOTAL(103,$A$948:A1131)</f>
        <v>159</v>
      </c>
      <c r="C1131" s="24" t="s">
        <v>182</v>
      </c>
      <c r="D1131" s="31">
        <f>E1131+F1131+G1131+H1131+I1131+J1131+L1131+N1131+P1131+R1131+T1131+U1131+V1131+W1131+X1131+Y1131+Z1131+AA1131+AB1131+AC1131+AD1131+AE1131</f>
        <v>3457143.9</v>
      </c>
      <c r="E1131" s="31">
        <v>0</v>
      </c>
      <c r="F1131" s="31">
        <v>0</v>
      </c>
      <c r="G1131" s="31">
        <v>0</v>
      </c>
      <c r="H1131" s="31">
        <v>0</v>
      </c>
      <c r="I1131" s="31">
        <v>0</v>
      </c>
      <c r="J1131" s="31">
        <v>0</v>
      </c>
      <c r="K1131" s="33">
        <v>0</v>
      </c>
      <c r="L1131" s="31">
        <v>0</v>
      </c>
      <c r="M1131" s="31">
        <v>630</v>
      </c>
      <c r="N1131" s="31">
        <v>3258269.85</v>
      </c>
      <c r="O1131" s="31">
        <v>0</v>
      </c>
      <c r="P1131" s="31">
        <v>0</v>
      </c>
      <c r="Q1131" s="31">
        <v>0</v>
      </c>
      <c r="R1131" s="31">
        <v>0</v>
      </c>
      <c r="S1131" s="31">
        <v>0</v>
      </c>
      <c r="T1131" s="31">
        <v>0</v>
      </c>
      <c r="U1131" s="31">
        <v>0</v>
      </c>
      <c r="V1131" s="31">
        <v>0</v>
      </c>
      <c r="W1131" s="31">
        <v>0</v>
      </c>
      <c r="X1131" s="31">
        <v>0</v>
      </c>
      <c r="Y1131" s="31">
        <v>0</v>
      </c>
      <c r="Z1131" s="31">
        <v>0</v>
      </c>
      <c r="AA1131" s="31">
        <v>0</v>
      </c>
      <c r="AB1131" s="31">
        <v>0</v>
      </c>
      <c r="AC1131" s="31">
        <f>ROUND(N1131*1.5%,2)</f>
        <v>48874.05</v>
      </c>
      <c r="AD1131" s="31">
        <v>150000</v>
      </c>
      <c r="AE1131" s="31">
        <v>0</v>
      </c>
      <c r="AF1131" s="34">
        <v>2022</v>
      </c>
      <c r="AG1131" s="34">
        <v>2022</v>
      </c>
      <c r="AH1131" s="35">
        <v>2022</v>
      </c>
      <c r="AT1131" s="20" t="e">
        <f t="shared" si="253"/>
        <v>#N/A</v>
      </c>
      <c r="BZ1131" s="71"/>
    </row>
    <row r="1132" spans="1:80" ht="61.5" x14ac:dyDescent="0.85">
      <c r="A1132" s="20">
        <v>1</v>
      </c>
      <c r="B1132" s="66">
        <f>SUBTOTAL(103,$A$948:A1132)</f>
        <v>160</v>
      </c>
      <c r="C1132" s="24" t="s">
        <v>183</v>
      </c>
      <c r="D1132" s="31">
        <f>E1132+F1132+G1132+H1132+I1132+J1132+L1132+N1132+P1132+R1132+T1132+U1132+V1132+W1132+X1132+Y1132+Z1132+AA1132+AB1132+AC1132+AD1132+AE1132</f>
        <v>2320823.9699999997</v>
      </c>
      <c r="E1132" s="31">
        <v>0</v>
      </c>
      <c r="F1132" s="31">
        <v>0</v>
      </c>
      <c r="G1132" s="31">
        <v>0</v>
      </c>
      <c r="H1132" s="31">
        <v>0</v>
      </c>
      <c r="I1132" s="31">
        <v>0</v>
      </c>
      <c r="J1132" s="31">
        <v>0</v>
      </c>
      <c r="K1132" s="33">
        <v>0</v>
      </c>
      <c r="L1132" s="31">
        <v>0</v>
      </c>
      <c r="M1132" s="31">
        <v>0</v>
      </c>
      <c r="N1132" s="31">
        <v>0</v>
      </c>
      <c r="O1132" s="31">
        <v>0</v>
      </c>
      <c r="P1132" s="31">
        <v>0</v>
      </c>
      <c r="Q1132" s="31">
        <v>437</v>
      </c>
      <c r="R1132" s="31">
        <v>2158447.2599999998</v>
      </c>
      <c r="S1132" s="31">
        <v>0</v>
      </c>
      <c r="T1132" s="31">
        <v>0</v>
      </c>
      <c r="U1132" s="31">
        <v>0</v>
      </c>
      <c r="V1132" s="31">
        <v>0</v>
      </c>
      <c r="W1132" s="31">
        <v>0</v>
      </c>
      <c r="X1132" s="31">
        <v>0</v>
      </c>
      <c r="Y1132" s="31">
        <v>0</v>
      </c>
      <c r="Z1132" s="31">
        <v>0</v>
      </c>
      <c r="AA1132" s="31">
        <v>0</v>
      </c>
      <c r="AB1132" s="31">
        <v>0</v>
      </c>
      <c r="AC1132" s="31">
        <f>ROUND(R1132*1.5%,2)</f>
        <v>32376.71</v>
      </c>
      <c r="AD1132" s="31">
        <v>130000</v>
      </c>
      <c r="AE1132" s="31">
        <v>0</v>
      </c>
      <c r="AF1132" s="34">
        <v>2022</v>
      </c>
      <c r="AG1132" s="34">
        <v>2022</v>
      </c>
      <c r="AH1132" s="35">
        <v>2022</v>
      </c>
      <c r="AT1132" s="20" t="e">
        <f t="shared" si="253"/>
        <v>#N/A</v>
      </c>
      <c r="BZ1132" s="71"/>
    </row>
    <row r="1133" spans="1:80" ht="61.5" x14ac:dyDescent="0.85">
      <c r="B1133" s="24" t="s">
        <v>859</v>
      </c>
      <c r="C1133" s="24"/>
      <c r="D1133" s="31">
        <f>D1134+D1135+D1136</f>
        <v>4715781.71</v>
      </c>
      <c r="E1133" s="31">
        <f t="shared" ref="E1133:AE1133" si="254">E1134+E1135+E1136</f>
        <v>0</v>
      </c>
      <c r="F1133" s="31">
        <f t="shared" si="254"/>
        <v>0</v>
      </c>
      <c r="G1133" s="31">
        <f t="shared" si="254"/>
        <v>0</v>
      </c>
      <c r="H1133" s="31">
        <f t="shared" si="254"/>
        <v>0</v>
      </c>
      <c r="I1133" s="31">
        <f t="shared" si="254"/>
        <v>0</v>
      </c>
      <c r="J1133" s="31">
        <f t="shared" si="254"/>
        <v>0</v>
      </c>
      <c r="K1133" s="33">
        <f t="shared" si="254"/>
        <v>0</v>
      </c>
      <c r="L1133" s="31">
        <f t="shared" si="254"/>
        <v>0</v>
      </c>
      <c r="M1133" s="31">
        <f t="shared" si="254"/>
        <v>543</v>
      </c>
      <c r="N1133" s="31">
        <f t="shared" si="254"/>
        <v>2724828.46</v>
      </c>
      <c r="O1133" s="31">
        <f t="shared" si="254"/>
        <v>0</v>
      </c>
      <c r="P1133" s="31">
        <f t="shared" si="254"/>
        <v>0</v>
      </c>
      <c r="Q1133" s="31">
        <f t="shared" si="254"/>
        <v>322</v>
      </c>
      <c r="R1133" s="31">
        <f t="shared" si="254"/>
        <v>1586286.52</v>
      </c>
      <c r="S1133" s="31">
        <f t="shared" si="254"/>
        <v>0</v>
      </c>
      <c r="T1133" s="31">
        <f t="shared" si="254"/>
        <v>0</v>
      </c>
      <c r="U1133" s="31">
        <f t="shared" si="254"/>
        <v>0</v>
      </c>
      <c r="V1133" s="31">
        <f t="shared" si="254"/>
        <v>0</v>
      </c>
      <c r="W1133" s="31">
        <f t="shared" si="254"/>
        <v>0</v>
      </c>
      <c r="X1133" s="31">
        <f t="shared" si="254"/>
        <v>0</v>
      </c>
      <c r="Y1133" s="31">
        <f t="shared" si="254"/>
        <v>0</v>
      </c>
      <c r="Z1133" s="31">
        <f t="shared" si="254"/>
        <v>0</v>
      </c>
      <c r="AA1133" s="31">
        <f t="shared" si="254"/>
        <v>0</v>
      </c>
      <c r="AB1133" s="31">
        <f t="shared" si="254"/>
        <v>0</v>
      </c>
      <c r="AC1133" s="31">
        <f t="shared" si="254"/>
        <v>64666.729999999996</v>
      </c>
      <c r="AD1133" s="31">
        <f t="shared" si="254"/>
        <v>340000</v>
      </c>
      <c r="AE1133" s="31">
        <f t="shared" si="254"/>
        <v>0</v>
      </c>
      <c r="AF1133" s="168" t="s">
        <v>776</v>
      </c>
      <c r="AG1133" s="168" t="s">
        <v>776</v>
      </c>
      <c r="AH1133" s="169" t="s">
        <v>776</v>
      </c>
      <c r="AT1133" s="20" t="e">
        <f t="shared" si="253"/>
        <v>#N/A</v>
      </c>
      <c r="BZ1133" s="71">
        <v>4715781.71</v>
      </c>
    </row>
    <row r="1134" spans="1:80" ht="61.5" x14ac:dyDescent="0.85">
      <c r="A1134" s="20">
        <v>1</v>
      </c>
      <c r="B1134" s="66">
        <f>SUBTOTAL(103,$A$948:A1134)</f>
        <v>161</v>
      </c>
      <c r="C1134" s="24" t="s">
        <v>817</v>
      </c>
      <c r="D1134" s="31">
        <f>E1134+F1134+G1134+H1134+I1134+J1134+L1134+N1134+P1134+R1134+T1134+U1134+V1134+W1134+X1134+Y1134+Z1134+AA1134+AB1134+AC1134+AD1134+AE1134</f>
        <v>1710080.82</v>
      </c>
      <c r="E1134" s="31">
        <v>0</v>
      </c>
      <c r="F1134" s="31">
        <v>0</v>
      </c>
      <c r="G1134" s="31">
        <v>0</v>
      </c>
      <c r="H1134" s="31">
        <v>0</v>
      </c>
      <c r="I1134" s="31">
        <v>0</v>
      </c>
      <c r="J1134" s="31">
        <v>0</v>
      </c>
      <c r="K1134" s="33">
        <v>0</v>
      </c>
      <c r="L1134" s="31">
        <v>0</v>
      </c>
      <c r="M1134" s="31">
        <v>0</v>
      </c>
      <c r="N1134" s="31">
        <v>0</v>
      </c>
      <c r="O1134" s="31">
        <v>0</v>
      </c>
      <c r="P1134" s="31">
        <v>0</v>
      </c>
      <c r="Q1134" s="31">
        <v>322</v>
      </c>
      <c r="R1134" s="31">
        <v>1586286.52</v>
      </c>
      <c r="S1134" s="31">
        <v>0</v>
      </c>
      <c r="T1134" s="31">
        <v>0</v>
      </c>
      <c r="U1134" s="31">
        <v>0</v>
      </c>
      <c r="V1134" s="31">
        <v>0</v>
      </c>
      <c r="W1134" s="31">
        <v>0</v>
      </c>
      <c r="X1134" s="31">
        <v>0</v>
      </c>
      <c r="Y1134" s="31">
        <v>0</v>
      </c>
      <c r="Z1134" s="31">
        <v>0</v>
      </c>
      <c r="AA1134" s="31">
        <v>0</v>
      </c>
      <c r="AB1134" s="31">
        <v>0</v>
      </c>
      <c r="AC1134" s="31">
        <f>ROUND(R1134*1.5%,2)</f>
        <v>23794.3</v>
      </c>
      <c r="AD1134" s="31">
        <v>100000</v>
      </c>
      <c r="AE1134" s="31">
        <v>0</v>
      </c>
      <c r="AF1134" s="34">
        <v>2022</v>
      </c>
      <c r="AG1134" s="34">
        <v>2022</v>
      </c>
      <c r="AH1134" s="35">
        <v>2022</v>
      </c>
      <c r="AT1134" s="20" t="e">
        <f t="shared" si="253"/>
        <v>#N/A</v>
      </c>
      <c r="BZ1134" s="71"/>
    </row>
    <row r="1135" spans="1:80" ht="61.5" x14ac:dyDescent="0.85">
      <c r="A1135" s="20">
        <v>1</v>
      </c>
      <c r="B1135" s="66">
        <f>SUBTOTAL(103,$A$948:A1135)</f>
        <v>162</v>
      </c>
      <c r="C1135" s="24" t="s">
        <v>187</v>
      </c>
      <c r="D1135" s="31">
        <f>E1135+F1135+G1135+H1135+I1135+J1135+L1135+N1135+P1135+R1135+T1135+U1135+V1135+W1135+X1135+Y1135+Z1135+AA1135+AB1135+AC1135+AD1135+AE1135</f>
        <v>1452729.9</v>
      </c>
      <c r="E1135" s="31">
        <v>0</v>
      </c>
      <c r="F1135" s="31">
        <v>0</v>
      </c>
      <c r="G1135" s="31">
        <v>0</v>
      </c>
      <c r="H1135" s="31">
        <v>0</v>
      </c>
      <c r="I1135" s="31">
        <v>0</v>
      </c>
      <c r="J1135" s="31">
        <v>0</v>
      </c>
      <c r="K1135" s="33">
        <v>0</v>
      </c>
      <c r="L1135" s="31">
        <v>0</v>
      </c>
      <c r="M1135" s="31">
        <v>260</v>
      </c>
      <c r="N1135" s="31">
        <v>1313034.3799999999</v>
      </c>
      <c r="O1135" s="31">
        <v>0</v>
      </c>
      <c r="P1135" s="31">
        <v>0</v>
      </c>
      <c r="Q1135" s="31">
        <v>0</v>
      </c>
      <c r="R1135" s="31">
        <v>0</v>
      </c>
      <c r="S1135" s="31">
        <v>0</v>
      </c>
      <c r="T1135" s="31">
        <v>0</v>
      </c>
      <c r="U1135" s="31">
        <v>0</v>
      </c>
      <c r="V1135" s="31">
        <v>0</v>
      </c>
      <c r="W1135" s="31">
        <v>0</v>
      </c>
      <c r="X1135" s="31">
        <v>0</v>
      </c>
      <c r="Y1135" s="31">
        <v>0</v>
      </c>
      <c r="Z1135" s="31">
        <v>0</v>
      </c>
      <c r="AA1135" s="31">
        <v>0</v>
      </c>
      <c r="AB1135" s="31">
        <v>0</v>
      </c>
      <c r="AC1135" s="31">
        <f>ROUND(N1135*1.5%,2)</f>
        <v>19695.52</v>
      </c>
      <c r="AD1135" s="31">
        <v>120000</v>
      </c>
      <c r="AE1135" s="31">
        <v>0</v>
      </c>
      <c r="AF1135" s="34">
        <v>2022</v>
      </c>
      <c r="AG1135" s="34">
        <v>2022</v>
      </c>
      <c r="AH1135" s="35">
        <v>2022</v>
      </c>
      <c r="AT1135" s="20" t="e">
        <f t="shared" si="253"/>
        <v>#N/A</v>
      </c>
      <c r="BZ1135" s="71"/>
    </row>
    <row r="1136" spans="1:80" ht="61.5" x14ac:dyDescent="0.85">
      <c r="A1136" s="20">
        <v>1</v>
      </c>
      <c r="B1136" s="66">
        <f>SUBTOTAL(103,$A$948:A1136)</f>
        <v>163</v>
      </c>
      <c r="C1136" s="24" t="s">
        <v>184</v>
      </c>
      <c r="D1136" s="31">
        <f>E1136+F1136+G1136+H1136+I1136+J1136+L1136+N1136+P1136+R1136+T1136+U1136+V1136+W1136+X1136+Y1136+Z1136+AA1136+AB1136+AC1136+AD1136+AE1136</f>
        <v>1552970.99</v>
      </c>
      <c r="E1136" s="31">
        <v>0</v>
      </c>
      <c r="F1136" s="31">
        <v>0</v>
      </c>
      <c r="G1136" s="31">
        <v>0</v>
      </c>
      <c r="H1136" s="31">
        <v>0</v>
      </c>
      <c r="I1136" s="31">
        <v>0</v>
      </c>
      <c r="J1136" s="31">
        <v>0</v>
      </c>
      <c r="K1136" s="33">
        <v>0</v>
      </c>
      <c r="L1136" s="31">
        <v>0</v>
      </c>
      <c r="M1136" s="31">
        <v>283</v>
      </c>
      <c r="N1136" s="31">
        <v>1411794.08</v>
      </c>
      <c r="O1136" s="31">
        <v>0</v>
      </c>
      <c r="P1136" s="31">
        <v>0</v>
      </c>
      <c r="Q1136" s="31">
        <v>0</v>
      </c>
      <c r="R1136" s="31">
        <v>0</v>
      </c>
      <c r="S1136" s="31">
        <v>0</v>
      </c>
      <c r="T1136" s="31">
        <v>0</v>
      </c>
      <c r="U1136" s="31">
        <v>0</v>
      </c>
      <c r="V1136" s="31">
        <v>0</v>
      </c>
      <c r="W1136" s="31">
        <v>0</v>
      </c>
      <c r="X1136" s="31">
        <v>0</v>
      </c>
      <c r="Y1136" s="31">
        <v>0</v>
      </c>
      <c r="Z1136" s="31">
        <v>0</v>
      </c>
      <c r="AA1136" s="31">
        <v>0</v>
      </c>
      <c r="AB1136" s="31">
        <v>0</v>
      </c>
      <c r="AC1136" s="31">
        <f>ROUND(N1136*1.5%,2)</f>
        <v>21176.91</v>
      </c>
      <c r="AD1136" s="31">
        <v>120000</v>
      </c>
      <c r="AE1136" s="31">
        <v>0</v>
      </c>
      <c r="AF1136" s="34">
        <v>2022</v>
      </c>
      <c r="AG1136" s="34">
        <v>2022</v>
      </c>
      <c r="AH1136" s="35">
        <v>2022</v>
      </c>
      <c r="AT1136" s="20" t="e">
        <f t="shared" si="253"/>
        <v>#N/A</v>
      </c>
      <c r="BZ1136" s="71"/>
    </row>
    <row r="1137" spans="1:78" ht="61.5" x14ac:dyDescent="0.85">
      <c r="B1137" s="24" t="s">
        <v>860</v>
      </c>
      <c r="C1137" s="24"/>
      <c r="D1137" s="31">
        <f>D1138+D1139</f>
        <v>2590114.16</v>
      </c>
      <c r="E1137" s="31">
        <f t="shared" ref="E1137:AE1137" si="255">E1138+E1139</f>
        <v>0</v>
      </c>
      <c r="F1137" s="31">
        <f t="shared" si="255"/>
        <v>0</v>
      </c>
      <c r="G1137" s="31">
        <f t="shared" si="255"/>
        <v>0</v>
      </c>
      <c r="H1137" s="31">
        <f t="shared" si="255"/>
        <v>0</v>
      </c>
      <c r="I1137" s="31">
        <f t="shared" si="255"/>
        <v>0</v>
      </c>
      <c r="J1137" s="31">
        <f t="shared" si="255"/>
        <v>0</v>
      </c>
      <c r="K1137" s="33">
        <f t="shared" si="255"/>
        <v>0</v>
      </c>
      <c r="L1137" s="31">
        <f t="shared" si="255"/>
        <v>0</v>
      </c>
      <c r="M1137" s="31">
        <f t="shared" si="255"/>
        <v>472</v>
      </c>
      <c r="N1137" s="31">
        <f t="shared" si="255"/>
        <v>2315383.41</v>
      </c>
      <c r="O1137" s="31">
        <f t="shared" si="255"/>
        <v>0</v>
      </c>
      <c r="P1137" s="31">
        <f t="shared" si="255"/>
        <v>0</v>
      </c>
      <c r="Q1137" s="31">
        <f t="shared" si="255"/>
        <v>0</v>
      </c>
      <c r="R1137" s="31">
        <f t="shared" si="255"/>
        <v>0</v>
      </c>
      <c r="S1137" s="31">
        <f t="shared" si="255"/>
        <v>0</v>
      </c>
      <c r="T1137" s="31">
        <f t="shared" si="255"/>
        <v>0</v>
      </c>
      <c r="U1137" s="31">
        <f t="shared" si="255"/>
        <v>0</v>
      </c>
      <c r="V1137" s="31">
        <f t="shared" si="255"/>
        <v>0</v>
      </c>
      <c r="W1137" s="31">
        <f t="shared" si="255"/>
        <v>0</v>
      </c>
      <c r="X1137" s="31">
        <f t="shared" si="255"/>
        <v>0</v>
      </c>
      <c r="Y1137" s="31">
        <f t="shared" si="255"/>
        <v>0</v>
      </c>
      <c r="Z1137" s="31">
        <f t="shared" si="255"/>
        <v>0</v>
      </c>
      <c r="AA1137" s="31">
        <f t="shared" si="255"/>
        <v>0</v>
      </c>
      <c r="AB1137" s="31">
        <f t="shared" si="255"/>
        <v>0</v>
      </c>
      <c r="AC1137" s="31">
        <f t="shared" si="255"/>
        <v>34730.75</v>
      </c>
      <c r="AD1137" s="31">
        <f t="shared" si="255"/>
        <v>240000</v>
      </c>
      <c r="AE1137" s="31">
        <f t="shared" si="255"/>
        <v>0</v>
      </c>
      <c r="AF1137" s="168" t="s">
        <v>776</v>
      </c>
      <c r="AG1137" s="168" t="s">
        <v>776</v>
      </c>
      <c r="AH1137" s="169" t="s">
        <v>776</v>
      </c>
      <c r="AT1137" s="20" t="e">
        <f t="shared" si="253"/>
        <v>#N/A</v>
      </c>
      <c r="BZ1137" s="71">
        <v>2590114.16</v>
      </c>
    </row>
    <row r="1138" spans="1:78" ht="61.5" x14ac:dyDescent="0.85">
      <c r="A1138" s="20">
        <v>1</v>
      </c>
      <c r="B1138" s="66">
        <f>SUBTOTAL(103,$A$948:A1138)</f>
        <v>164</v>
      </c>
      <c r="C1138" s="24" t="s">
        <v>185</v>
      </c>
      <c r="D1138" s="31">
        <f>E1138+F1138+G1138+H1138+I1138+J1138+L1138+N1138+P1138+R1138+T1138+U1138+V1138+W1138+X1138+Y1138+Z1138+AA1138+AB1138+AC1138+AD1138+AE1138</f>
        <v>1262131.9000000001</v>
      </c>
      <c r="E1138" s="31">
        <v>0</v>
      </c>
      <c r="F1138" s="31">
        <v>0</v>
      </c>
      <c r="G1138" s="31">
        <v>0</v>
      </c>
      <c r="H1138" s="31">
        <v>0</v>
      </c>
      <c r="I1138" s="31">
        <v>0</v>
      </c>
      <c r="J1138" s="31">
        <v>0</v>
      </c>
      <c r="K1138" s="33">
        <v>0</v>
      </c>
      <c r="L1138" s="31">
        <v>0</v>
      </c>
      <c r="M1138" s="31">
        <v>230</v>
      </c>
      <c r="N1138" s="31">
        <v>1125253.1000000001</v>
      </c>
      <c r="O1138" s="31">
        <v>0</v>
      </c>
      <c r="P1138" s="31">
        <v>0</v>
      </c>
      <c r="Q1138" s="31">
        <v>0</v>
      </c>
      <c r="R1138" s="31">
        <v>0</v>
      </c>
      <c r="S1138" s="31">
        <v>0</v>
      </c>
      <c r="T1138" s="31">
        <v>0</v>
      </c>
      <c r="U1138" s="31">
        <v>0</v>
      </c>
      <c r="V1138" s="31">
        <v>0</v>
      </c>
      <c r="W1138" s="31">
        <v>0</v>
      </c>
      <c r="X1138" s="31">
        <v>0</v>
      </c>
      <c r="Y1138" s="31">
        <v>0</v>
      </c>
      <c r="Z1138" s="31">
        <v>0</v>
      </c>
      <c r="AA1138" s="31">
        <v>0</v>
      </c>
      <c r="AB1138" s="31">
        <v>0</v>
      </c>
      <c r="AC1138" s="31">
        <f>ROUND(N1138*1.5%,2)</f>
        <v>16878.8</v>
      </c>
      <c r="AD1138" s="31">
        <v>120000</v>
      </c>
      <c r="AE1138" s="31">
        <v>0</v>
      </c>
      <c r="AF1138" s="34">
        <v>2022</v>
      </c>
      <c r="AG1138" s="34">
        <v>2022</v>
      </c>
      <c r="AH1138" s="35">
        <v>2022</v>
      </c>
      <c r="AT1138" s="20" t="e">
        <f t="shared" si="253"/>
        <v>#N/A</v>
      </c>
      <c r="BZ1138" s="71"/>
    </row>
    <row r="1139" spans="1:78" ht="61.5" x14ac:dyDescent="0.85">
      <c r="A1139" s="20">
        <v>1</v>
      </c>
      <c r="B1139" s="66">
        <f>SUBTOTAL(103,$A$948:A1139)</f>
        <v>165</v>
      </c>
      <c r="C1139" s="24" t="s">
        <v>181</v>
      </c>
      <c r="D1139" s="31">
        <f>E1139+F1139+G1139+H1139+I1139+J1139+L1139+N1139+P1139+R1139+T1139+U1139+V1139+W1139+X1139+Y1139+Z1139+AA1139+AB1139+AC1139+AD1139+AE1139</f>
        <v>1327982.26</v>
      </c>
      <c r="E1139" s="31">
        <v>0</v>
      </c>
      <c r="F1139" s="31">
        <v>0</v>
      </c>
      <c r="G1139" s="31">
        <v>0</v>
      </c>
      <c r="H1139" s="31">
        <v>0</v>
      </c>
      <c r="I1139" s="31">
        <v>0</v>
      </c>
      <c r="J1139" s="31">
        <v>0</v>
      </c>
      <c r="K1139" s="33">
        <v>0</v>
      </c>
      <c r="L1139" s="31">
        <v>0</v>
      </c>
      <c r="M1139" s="31">
        <v>242</v>
      </c>
      <c r="N1139" s="31">
        <v>1190130.31</v>
      </c>
      <c r="O1139" s="31">
        <v>0</v>
      </c>
      <c r="P1139" s="31">
        <v>0</v>
      </c>
      <c r="Q1139" s="31">
        <v>0</v>
      </c>
      <c r="R1139" s="31">
        <v>0</v>
      </c>
      <c r="S1139" s="31">
        <v>0</v>
      </c>
      <c r="T1139" s="31">
        <v>0</v>
      </c>
      <c r="U1139" s="31">
        <v>0</v>
      </c>
      <c r="V1139" s="31">
        <v>0</v>
      </c>
      <c r="W1139" s="31">
        <v>0</v>
      </c>
      <c r="X1139" s="31">
        <v>0</v>
      </c>
      <c r="Y1139" s="31">
        <v>0</v>
      </c>
      <c r="Z1139" s="31">
        <v>0</v>
      </c>
      <c r="AA1139" s="31">
        <v>0</v>
      </c>
      <c r="AB1139" s="31">
        <v>0</v>
      </c>
      <c r="AC1139" s="31">
        <f>ROUND(N1139*1.5%,2)</f>
        <v>17851.95</v>
      </c>
      <c r="AD1139" s="31">
        <v>120000</v>
      </c>
      <c r="AE1139" s="31">
        <v>0</v>
      </c>
      <c r="AF1139" s="34">
        <v>2022</v>
      </c>
      <c r="AG1139" s="34">
        <v>2022</v>
      </c>
      <c r="AH1139" s="35">
        <v>2022</v>
      </c>
      <c r="AT1139" s="20" t="e">
        <f t="shared" si="253"/>
        <v>#N/A</v>
      </c>
      <c r="BZ1139" s="71"/>
    </row>
    <row r="1140" spans="1:78" ht="61.5" x14ac:dyDescent="0.85">
      <c r="B1140" s="24" t="s">
        <v>861</v>
      </c>
      <c r="C1140" s="24"/>
      <c r="D1140" s="31">
        <f>D1141</f>
        <v>1456533.11</v>
      </c>
      <c r="E1140" s="31">
        <f t="shared" ref="E1140:AE1140" si="256">E1141</f>
        <v>0</v>
      </c>
      <c r="F1140" s="31">
        <f t="shared" si="256"/>
        <v>0</v>
      </c>
      <c r="G1140" s="31">
        <f t="shared" si="256"/>
        <v>0</v>
      </c>
      <c r="H1140" s="31">
        <f t="shared" si="256"/>
        <v>0</v>
      </c>
      <c r="I1140" s="31">
        <f t="shared" si="256"/>
        <v>0</v>
      </c>
      <c r="J1140" s="31">
        <f t="shared" si="256"/>
        <v>0</v>
      </c>
      <c r="K1140" s="33">
        <f t="shared" si="256"/>
        <v>0</v>
      </c>
      <c r="L1140" s="31">
        <f t="shared" si="256"/>
        <v>0</v>
      </c>
      <c r="M1140" s="31">
        <f t="shared" si="256"/>
        <v>280</v>
      </c>
      <c r="N1140" s="31">
        <f t="shared" si="256"/>
        <v>1356190.26</v>
      </c>
      <c r="O1140" s="31">
        <f t="shared" si="256"/>
        <v>0</v>
      </c>
      <c r="P1140" s="31">
        <f t="shared" si="256"/>
        <v>0</v>
      </c>
      <c r="Q1140" s="31">
        <f t="shared" si="256"/>
        <v>0</v>
      </c>
      <c r="R1140" s="31">
        <f t="shared" si="256"/>
        <v>0</v>
      </c>
      <c r="S1140" s="31">
        <f t="shared" si="256"/>
        <v>0</v>
      </c>
      <c r="T1140" s="31">
        <f t="shared" si="256"/>
        <v>0</v>
      </c>
      <c r="U1140" s="31">
        <f t="shared" si="256"/>
        <v>0</v>
      </c>
      <c r="V1140" s="31">
        <f t="shared" si="256"/>
        <v>0</v>
      </c>
      <c r="W1140" s="31">
        <f t="shared" si="256"/>
        <v>0</v>
      </c>
      <c r="X1140" s="31">
        <f t="shared" si="256"/>
        <v>0</v>
      </c>
      <c r="Y1140" s="31">
        <f t="shared" si="256"/>
        <v>0</v>
      </c>
      <c r="Z1140" s="31">
        <f t="shared" si="256"/>
        <v>0</v>
      </c>
      <c r="AA1140" s="31">
        <f t="shared" si="256"/>
        <v>0</v>
      </c>
      <c r="AB1140" s="31">
        <f t="shared" si="256"/>
        <v>0</v>
      </c>
      <c r="AC1140" s="31">
        <f t="shared" si="256"/>
        <v>20342.849999999999</v>
      </c>
      <c r="AD1140" s="31">
        <f t="shared" si="256"/>
        <v>80000</v>
      </c>
      <c r="AE1140" s="31">
        <f t="shared" si="256"/>
        <v>0</v>
      </c>
      <c r="AF1140" s="168" t="s">
        <v>776</v>
      </c>
      <c r="AG1140" s="168" t="s">
        <v>776</v>
      </c>
      <c r="AH1140" s="169" t="s">
        <v>776</v>
      </c>
      <c r="AT1140" s="20" t="e">
        <f t="shared" si="253"/>
        <v>#N/A</v>
      </c>
      <c r="BZ1140" s="71">
        <v>1456533.11</v>
      </c>
    </row>
    <row r="1141" spans="1:78" ht="61.5" x14ac:dyDescent="0.85">
      <c r="A1141" s="20">
        <v>1</v>
      </c>
      <c r="B1141" s="66">
        <f>SUBTOTAL(103,$A$948:A1141)</f>
        <v>166</v>
      </c>
      <c r="C1141" s="24" t="s">
        <v>818</v>
      </c>
      <c r="D1141" s="31">
        <f>E1141+F1141+G1141+H1141+I1141+J1141+L1141+N1141+P1141+R1141+T1141+U1141+V1141+W1141+X1141+Y1141+Z1141+AA1141+AB1141+AC1141+AD1141+AE1141</f>
        <v>1456533.11</v>
      </c>
      <c r="E1141" s="31">
        <v>0</v>
      </c>
      <c r="F1141" s="31">
        <v>0</v>
      </c>
      <c r="G1141" s="31">
        <v>0</v>
      </c>
      <c r="H1141" s="31">
        <v>0</v>
      </c>
      <c r="I1141" s="31">
        <v>0</v>
      </c>
      <c r="J1141" s="31">
        <v>0</v>
      </c>
      <c r="K1141" s="33">
        <v>0</v>
      </c>
      <c r="L1141" s="31">
        <v>0</v>
      </c>
      <c r="M1141" s="31">
        <v>280</v>
      </c>
      <c r="N1141" s="31">
        <v>1356190.26</v>
      </c>
      <c r="O1141" s="31">
        <v>0</v>
      </c>
      <c r="P1141" s="31">
        <v>0</v>
      </c>
      <c r="Q1141" s="31">
        <v>0</v>
      </c>
      <c r="R1141" s="31">
        <v>0</v>
      </c>
      <c r="S1141" s="31">
        <v>0</v>
      </c>
      <c r="T1141" s="31">
        <v>0</v>
      </c>
      <c r="U1141" s="31">
        <v>0</v>
      </c>
      <c r="V1141" s="31">
        <v>0</v>
      </c>
      <c r="W1141" s="31">
        <v>0</v>
      </c>
      <c r="X1141" s="31">
        <v>0</v>
      </c>
      <c r="Y1141" s="31">
        <v>0</v>
      </c>
      <c r="Z1141" s="31">
        <v>0</v>
      </c>
      <c r="AA1141" s="31">
        <v>0</v>
      </c>
      <c r="AB1141" s="31">
        <v>0</v>
      </c>
      <c r="AC1141" s="31">
        <f>ROUND(N1141*1.5%,2)</f>
        <v>20342.849999999999</v>
      </c>
      <c r="AD1141" s="31">
        <v>80000</v>
      </c>
      <c r="AE1141" s="31">
        <v>0</v>
      </c>
      <c r="AF1141" s="34">
        <v>2022</v>
      </c>
      <c r="AG1141" s="34">
        <v>2022</v>
      </c>
      <c r="AH1141" s="35">
        <v>2022</v>
      </c>
      <c r="AT1141" s="20" t="e">
        <f t="shared" si="253"/>
        <v>#N/A</v>
      </c>
      <c r="BZ1141" s="71"/>
    </row>
    <row r="1142" spans="1:78" ht="61.5" x14ac:dyDescent="0.85">
      <c r="B1142" s="24" t="s">
        <v>863</v>
      </c>
      <c r="C1142" s="166"/>
      <c r="D1142" s="31">
        <f>D1143+D1144+D1145</f>
        <v>10290828.25</v>
      </c>
      <c r="E1142" s="31">
        <f t="shared" ref="E1142:AE1142" si="257">E1143+E1144+E1145</f>
        <v>0</v>
      </c>
      <c r="F1142" s="31">
        <f t="shared" si="257"/>
        <v>0</v>
      </c>
      <c r="G1142" s="31">
        <f t="shared" si="257"/>
        <v>0</v>
      </c>
      <c r="H1142" s="31">
        <f t="shared" si="257"/>
        <v>0</v>
      </c>
      <c r="I1142" s="31">
        <f t="shared" si="257"/>
        <v>0</v>
      </c>
      <c r="J1142" s="31">
        <f t="shared" si="257"/>
        <v>0</v>
      </c>
      <c r="K1142" s="33">
        <f t="shared" si="257"/>
        <v>0</v>
      </c>
      <c r="L1142" s="31">
        <f t="shared" si="257"/>
        <v>0</v>
      </c>
      <c r="M1142" s="31">
        <f t="shared" si="257"/>
        <v>1825</v>
      </c>
      <c r="N1142" s="31">
        <f t="shared" si="257"/>
        <v>9695397.290000001</v>
      </c>
      <c r="O1142" s="31">
        <f t="shared" si="257"/>
        <v>0</v>
      </c>
      <c r="P1142" s="31">
        <f t="shared" si="257"/>
        <v>0</v>
      </c>
      <c r="Q1142" s="31">
        <f t="shared" si="257"/>
        <v>0</v>
      </c>
      <c r="R1142" s="31">
        <f t="shared" si="257"/>
        <v>0</v>
      </c>
      <c r="S1142" s="31">
        <f t="shared" si="257"/>
        <v>0</v>
      </c>
      <c r="T1142" s="31">
        <f t="shared" si="257"/>
        <v>0</v>
      </c>
      <c r="U1142" s="31">
        <f t="shared" si="257"/>
        <v>0</v>
      </c>
      <c r="V1142" s="31">
        <f t="shared" si="257"/>
        <v>0</v>
      </c>
      <c r="W1142" s="31">
        <f t="shared" si="257"/>
        <v>0</v>
      </c>
      <c r="X1142" s="31">
        <f t="shared" si="257"/>
        <v>0</v>
      </c>
      <c r="Y1142" s="31">
        <f t="shared" si="257"/>
        <v>0</v>
      </c>
      <c r="Z1142" s="31">
        <f t="shared" si="257"/>
        <v>0</v>
      </c>
      <c r="AA1142" s="31">
        <f t="shared" si="257"/>
        <v>0</v>
      </c>
      <c r="AB1142" s="31">
        <f t="shared" si="257"/>
        <v>0</v>
      </c>
      <c r="AC1142" s="31">
        <f t="shared" si="257"/>
        <v>145430.96</v>
      </c>
      <c r="AD1142" s="31">
        <f t="shared" si="257"/>
        <v>450000</v>
      </c>
      <c r="AE1142" s="31">
        <f t="shared" si="257"/>
        <v>0</v>
      </c>
      <c r="AF1142" s="168" t="s">
        <v>776</v>
      </c>
      <c r="AG1142" s="168" t="s">
        <v>776</v>
      </c>
      <c r="AH1142" s="169" t="s">
        <v>776</v>
      </c>
      <c r="AT1142" s="20" t="e">
        <f t="shared" si="253"/>
        <v>#N/A</v>
      </c>
      <c r="BZ1142" s="71">
        <v>10290828.25</v>
      </c>
    </row>
    <row r="1143" spans="1:78" ht="61.5" x14ac:dyDescent="0.85">
      <c r="A1143" s="20">
        <v>1</v>
      </c>
      <c r="B1143" s="66">
        <f>SUBTOTAL(103,$A$948:A1143)</f>
        <v>167</v>
      </c>
      <c r="C1143" s="24" t="s">
        <v>86</v>
      </c>
      <c r="D1143" s="31">
        <f>E1143+F1143+G1143+H1143+I1143+J1143+L1143+N1143+P1143+R1143+T1143+U1143+V1143+W1143+X1143+Y1143+Z1143+AA1143+AB1143+AC1143+AD1143+AE1143</f>
        <v>3665226.5</v>
      </c>
      <c r="E1143" s="31">
        <v>0</v>
      </c>
      <c r="F1143" s="31">
        <v>0</v>
      </c>
      <c r="G1143" s="31">
        <v>0</v>
      </c>
      <c r="H1143" s="31">
        <v>0</v>
      </c>
      <c r="I1143" s="31">
        <v>0</v>
      </c>
      <c r="J1143" s="31">
        <v>0</v>
      </c>
      <c r="K1143" s="33">
        <v>0</v>
      </c>
      <c r="L1143" s="31">
        <v>0</v>
      </c>
      <c r="M1143" s="31">
        <v>650</v>
      </c>
      <c r="N1143" s="31">
        <v>3463277.34</v>
      </c>
      <c r="O1143" s="31">
        <v>0</v>
      </c>
      <c r="P1143" s="31">
        <v>0</v>
      </c>
      <c r="Q1143" s="31">
        <v>0</v>
      </c>
      <c r="R1143" s="31">
        <v>0</v>
      </c>
      <c r="S1143" s="31">
        <v>0</v>
      </c>
      <c r="T1143" s="31">
        <v>0</v>
      </c>
      <c r="U1143" s="31">
        <v>0</v>
      </c>
      <c r="V1143" s="31">
        <v>0</v>
      </c>
      <c r="W1143" s="31">
        <v>0</v>
      </c>
      <c r="X1143" s="31">
        <v>0</v>
      </c>
      <c r="Y1143" s="31">
        <v>0</v>
      </c>
      <c r="Z1143" s="31">
        <v>0</v>
      </c>
      <c r="AA1143" s="31">
        <v>0</v>
      </c>
      <c r="AB1143" s="31">
        <v>0</v>
      </c>
      <c r="AC1143" s="31">
        <f>ROUND(N1143*1.5%,2)</f>
        <v>51949.16</v>
      </c>
      <c r="AD1143" s="31">
        <v>150000</v>
      </c>
      <c r="AE1143" s="31">
        <v>0</v>
      </c>
      <c r="AF1143" s="34">
        <v>2022</v>
      </c>
      <c r="AG1143" s="34">
        <v>2022</v>
      </c>
      <c r="AH1143" s="35">
        <v>2022</v>
      </c>
      <c r="AT1143" s="20" t="e">
        <f t="shared" si="253"/>
        <v>#N/A</v>
      </c>
      <c r="BZ1143" s="71"/>
    </row>
    <row r="1144" spans="1:78" ht="61.5" x14ac:dyDescent="0.85">
      <c r="A1144" s="20">
        <v>1</v>
      </c>
      <c r="B1144" s="66">
        <f>SUBTOTAL(103,$A$948:A1144)</f>
        <v>168</v>
      </c>
      <c r="C1144" s="24" t="s">
        <v>87</v>
      </c>
      <c r="D1144" s="31">
        <f>E1144+F1144+G1144+H1144+I1144+J1144+L1144+N1144+P1144+R1144+T1144+U1144+V1144+W1144+X1144+Y1144+Z1144+AA1144+AB1144+AC1144+AD1144+AE1144</f>
        <v>3185927.6500000004</v>
      </c>
      <c r="E1144" s="31">
        <v>0</v>
      </c>
      <c r="F1144" s="31">
        <v>0</v>
      </c>
      <c r="G1144" s="31">
        <v>0</v>
      </c>
      <c r="H1144" s="31">
        <v>0</v>
      </c>
      <c r="I1144" s="31">
        <v>0</v>
      </c>
      <c r="J1144" s="31">
        <v>0</v>
      </c>
      <c r="K1144" s="33">
        <v>0</v>
      </c>
      <c r="L1144" s="31">
        <v>0</v>
      </c>
      <c r="M1144" s="31">
        <v>565</v>
      </c>
      <c r="N1144" s="31">
        <v>2991061.72</v>
      </c>
      <c r="O1144" s="31">
        <v>0</v>
      </c>
      <c r="P1144" s="31">
        <v>0</v>
      </c>
      <c r="Q1144" s="31">
        <v>0</v>
      </c>
      <c r="R1144" s="31">
        <v>0</v>
      </c>
      <c r="S1144" s="31">
        <v>0</v>
      </c>
      <c r="T1144" s="31">
        <v>0</v>
      </c>
      <c r="U1144" s="31">
        <v>0</v>
      </c>
      <c r="V1144" s="31">
        <v>0</v>
      </c>
      <c r="W1144" s="31">
        <v>0</v>
      </c>
      <c r="X1144" s="31">
        <v>0</v>
      </c>
      <c r="Y1144" s="31">
        <v>0</v>
      </c>
      <c r="Z1144" s="31">
        <v>0</v>
      </c>
      <c r="AA1144" s="31">
        <v>0</v>
      </c>
      <c r="AB1144" s="31">
        <v>0</v>
      </c>
      <c r="AC1144" s="31">
        <f>ROUND(N1144*1.5%,2)</f>
        <v>44865.93</v>
      </c>
      <c r="AD1144" s="31">
        <v>150000</v>
      </c>
      <c r="AE1144" s="31">
        <v>0</v>
      </c>
      <c r="AF1144" s="34">
        <v>2022</v>
      </c>
      <c r="AG1144" s="34">
        <v>2022</v>
      </c>
      <c r="AH1144" s="35">
        <v>2022</v>
      </c>
      <c r="AT1144" s="20" t="e">
        <f t="shared" si="253"/>
        <v>#N/A</v>
      </c>
      <c r="BZ1144" s="71"/>
    </row>
    <row r="1145" spans="1:78" ht="61.5" x14ac:dyDescent="0.85">
      <c r="A1145" s="20">
        <v>1</v>
      </c>
      <c r="B1145" s="66">
        <f>SUBTOTAL(103,$A$948:A1145)</f>
        <v>169</v>
      </c>
      <c r="C1145" s="24" t="s">
        <v>85</v>
      </c>
      <c r="D1145" s="31">
        <f>E1145+F1145+G1145+H1145+I1145+J1145+L1145+N1145+P1145+R1145+T1145+U1145+V1145+W1145+X1145+Y1145+Z1145+AA1145+AB1145+AC1145+AD1145+AE1145</f>
        <v>3439674.1</v>
      </c>
      <c r="E1145" s="31">
        <v>0</v>
      </c>
      <c r="F1145" s="31">
        <v>0</v>
      </c>
      <c r="G1145" s="31">
        <v>0</v>
      </c>
      <c r="H1145" s="31">
        <v>0</v>
      </c>
      <c r="I1145" s="31">
        <v>0</v>
      </c>
      <c r="J1145" s="31">
        <v>0</v>
      </c>
      <c r="K1145" s="33">
        <v>0</v>
      </c>
      <c r="L1145" s="31">
        <v>0</v>
      </c>
      <c r="M1145" s="31">
        <v>610</v>
      </c>
      <c r="N1145" s="31">
        <v>3241058.23</v>
      </c>
      <c r="O1145" s="31">
        <v>0</v>
      </c>
      <c r="P1145" s="31">
        <v>0</v>
      </c>
      <c r="Q1145" s="31">
        <v>0</v>
      </c>
      <c r="R1145" s="31">
        <v>0</v>
      </c>
      <c r="S1145" s="31">
        <v>0</v>
      </c>
      <c r="T1145" s="31">
        <v>0</v>
      </c>
      <c r="U1145" s="31">
        <v>0</v>
      </c>
      <c r="V1145" s="31">
        <v>0</v>
      </c>
      <c r="W1145" s="31">
        <v>0</v>
      </c>
      <c r="X1145" s="31">
        <v>0</v>
      </c>
      <c r="Y1145" s="31">
        <v>0</v>
      </c>
      <c r="Z1145" s="31">
        <v>0</v>
      </c>
      <c r="AA1145" s="31">
        <v>0</v>
      </c>
      <c r="AB1145" s="31">
        <v>0</v>
      </c>
      <c r="AC1145" s="31">
        <f>ROUND(N1145*1.5%,2)</f>
        <v>48615.87</v>
      </c>
      <c r="AD1145" s="31">
        <v>150000</v>
      </c>
      <c r="AE1145" s="31">
        <v>0</v>
      </c>
      <c r="AF1145" s="34">
        <v>2022</v>
      </c>
      <c r="AG1145" s="34">
        <v>2022</v>
      </c>
      <c r="AH1145" s="35">
        <v>2022</v>
      </c>
      <c r="AT1145" s="20" t="e">
        <f t="shared" si="253"/>
        <v>#N/A</v>
      </c>
      <c r="BZ1145" s="71"/>
    </row>
    <row r="1146" spans="1:78" ht="61.5" x14ac:dyDescent="0.85">
      <c r="B1146" s="24" t="s">
        <v>864</v>
      </c>
      <c r="C1146" s="24"/>
      <c r="D1146" s="31">
        <f>D1147</f>
        <v>3013803.8600000003</v>
      </c>
      <c r="E1146" s="31">
        <f t="shared" ref="E1146:AE1146" si="258">E1147</f>
        <v>0</v>
      </c>
      <c r="F1146" s="31">
        <f t="shared" si="258"/>
        <v>0</v>
      </c>
      <c r="G1146" s="31">
        <f t="shared" si="258"/>
        <v>0</v>
      </c>
      <c r="H1146" s="31">
        <f t="shared" si="258"/>
        <v>0</v>
      </c>
      <c r="I1146" s="31">
        <f t="shared" si="258"/>
        <v>0</v>
      </c>
      <c r="J1146" s="31">
        <f t="shared" si="258"/>
        <v>0</v>
      </c>
      <c r="K1146" s="33">
        <f t="shared" si="258"/>
        <v>0</v>
      </c>
      <c r="L1146" s="31">
        <f t="shared" si="258"/>
        <v>0</v>
      </c>
      <c r="M1146" s="31">
        <f t="shared" si="258"/>
        <v>586</v>
      </c>
      <c r="N1146" s="31">
        <f t="shared" si="258"/>
        <v>2821481.64</v>
      </c>
      <c r="O1146" s="31">
        <f t="shared" si="258"/>
        <v>0</v>
      </c>
      <c r="P1146" s="31">
        <f t="shared" si="258"/>
        <v>0</v>
      </c>
      <c r="Q1146" s="31">
        <f t="shared" si="258"/>
        <v>0</v>
      </c>
      <c r="R1146" s="31">
        <f t="shared" si="258"/>
        <v>0</v>
      </c>
      <c r="S1146" s="31">
        <f t="shared" si="258"/>
        <v>0</v>
      </c>
      <c r="T1146" s="31">
        <f t="shared" si="258"/>
        <v>0</v>
      </c>
      <c r="U1146" s="31">
        <f t="shared" si="258"/>
        <v>0</v>
      </c>
      <c r="V1146" s="31">
        <f t="shared" si="258"/>
        <v>0</v>
      </c>
      <c r="W1146" s="31">
        <f t="shared" si="258"/>
        <v>0</v>
      </c>
      <c r="X1146" s="31">
        <f t="shared" si="258"/>
        <v>0</v>
      </c>
      <c r="Y1146" s="31">
        <f t="shared" si="258"/>
        <v>0</v>
      </c>
      <c r="Z1146" s="31">
        <f t="shared" si="258"/>
        <v>0</v>
      </c>
      <c r="AA1146" s="31">
        <f t="shared" si="258"/>
        <v>0</v>
      </c>
      <c r="AB1146" s="31">
        <f t="shared" si="258"/>
        <v>0</v>
      </c>
      <c r="AC1146" s="31">
        <f t="shared" si="258"/>
        <v>42322.22</v>
      </c>
      <c r="AD1146" s="31">
        <f t="shared" si="258"/>
        <v>150000</v>
      </c>
      <c r="AE1146" s="31">
        <f t="shared" si="258"/>
        <v>0</v>
      </c>
      <c r="AF1146" s="168" t="s">
        <v>776</v>
      </c>
      <c r="AG1146" s="168" t="s">
        <v>776</v>
      </c>
      <c r="AH1146" s="169" t="s">
        <v>776</v>
      </c>
      <c r="AT1146" s="20" t="e">
        <f t="shared" si="253"/>
        <v>#N/A</v>
      </c>
      <c r="BZ1146" s="71">
        <v>3013803.8600000003</v>
      </c>
    </row>
    <row r="1147" spans="1:78" ht="61.5" x14ac:dyDescent="0.85">
      <c r="A1147" s="20">
        <v>1</v>
      </c>
      <c r="B1147" s="66">
        <f>SUBTOTAL(103,$A$948:A1147)</f>
        <v>170</v>
      </c>
      <c r="C1147" s="24" t="s">
        <v>89</v>
      </c>
      <c r="D1147" s="31">
        <f>E1147+F1147+G1147+H1147+I1147+J1147+L1147+N1147+P1147+R1147+T1147+U1147+V1147+W1147+X1147+Y1147+Z1147+AA1147+AB1147+AC1147+AD1147+AE1147</f>
        <v>3013803.8600000003</v>
      </c>
      <c r="E1147" s="31">
        <v>0</v>
      </c>
      <c r="F1147" s="31">
        <v>0</v>
      </c>
      <c r="G1147" s="31">
        <v>0</v>
      </c>
      <c r="H1147" s="31">
        <v>0</v>
      </c>
      <c r="I1147" s="31">
        <v>0</v>
      </c>
      <c r="J1147" s="31">
        <v>0</v>
      </c>
      <c r="K1147" s="33">
        <v>0</v>
      </c>
      <c r="L1147" s="31">
        <v>0</v>
      </c>
      <c r="M1147" s="31">
        <v>586</v>
      </c>
      <c r="N1147" s="31">
        <v>2821481.64</v>
      </c>
      <c r="O1147" s="31">
        <v>0</v>
      </c>
      <c r="P1147" s="31">
        <v>0</v>
      </c>
      <c r="Q1147" s="31">
        <v>0</v>
      </c>
      <c r="R1147" s="31">
        <v>0</v>
      </c>
      <c r="S1147" s="31">
        <v>0</v>
      </c>
      <c r="T1147" s="31">
        <v>0</v>
      </c>
      <c r="U1147" s="31">
        <v>0</v>
      </c>
      <c r="V1147" s="31">
        <v>0</v>
      </c>
      <c r="W1147" s="31">
        <v>0</v>
      </c>
      <c r="X1147" s="31">
        <v>0</v>
      </c>
      <c r="Y1147" s="31">
        <v>0</v>
      </c>
      <c r="Z1147" s="31">
        <v>0</v>
      </c>
      <c r="AA1147" s="31">
        <v>0</v>
      </c>
      <c r="AB1147" s="31">
        <v>0</v>
      </c>
      <c r="AC1147" s="31">
        <f>ROUND(N1147*1.5%,2)</f>
        <v>42322.22</v>
      </c>
      <c r="AD1147" s="31">
        <v>150000</v>
      </c>
      <c r="AE1147" s="31">
        <v>0</v>
      </c>
      <c r="AF1147" s="34">
        <v>2022</v>
      </c>
      <c r="AG1147" s="34">
        <v>2022</v>
      </c>
      <c r="AH1147" s="35">
        <v>2022</v>
      </c>
      <c r="AT1147" s="20" t="e">
        <f t="shared" si="253"/>
        <v>#N/A</v>
      </c>
      <c r="BZ1147" s="71"/>
    </row>
    <row r="1148" spans="1:78" ht="61.5" x14ac:dyDescent="0.85">
      <c r="B1148" s="24" t="s">
        <v>914</v>
      </c>
      <c r="C1148" s="24"/>
      <c r="D1148" s="31">
        <f>D1149</f>
        <v>2036502</v>
      </c>
      <c r="E1148" s="31">
        <f t="shared" ref="E1148:AE1148" si="259">E1149</f>
        <v>0</v>
      </c>
      <c r="F1148" s="31">
        <f t="shared" si="259"/>
        <v>0</v>
      </c>
      <c r="G1148" s="31">
        <f t="shared" si="259"/>
        <v>0</v>
      </c>
      <c r="H1148" s="31">
        <f t="shared" si="259"/>
        <v>0</v>
      </c>
      <c r="I1148" s="31">
        <f t="shared" si="259"/>
        <v>0</v>
      </c>
      <c r="J1148" s="31">
        <f t="shared" si="259"/>
        <v>0</v>
      </c>
      <c r="K1148" s="33">
        <f t="shared" si="259"/>
        <v>0</v>
      </c>
      <c r="L1148" s="31">
        <f t="shared" si="259"/>
        <v>0</v>
      </c>
      <c r="M1148" s="31">
        <f t="shared" si="259"/>
        <v>390</v>
      </c>
      <c r="N1148" s="31">
        <f t="shared" si="259"/>
        <v>1888179.31</v>
      </c>
      <c r="O1148" s="31">
        <f t="shared" si="259"/>
        <v>0</v>
      </c>
      <c r="P1148" s="31">
        <f t="shared" si="259"/>
        <v>0</v>
      </c>
      <c r="Q1148" s="31">
        <f t="shared" si="259"/>
        <v>0</v>
      </c>
      <c r="R1148" s="31">
        <f t="shared" si="259"/>
        <v>0</v>
      </c>
      <c r="S1148" s="31">
        <f t="shared" si="259"/>
        <v>0</v>
      </c>
      <c r="T1148" s="31">
        <f t="shared" si="259"/>
        <v>0</v>
      </c>
      <c r="U1148" s="31">
        <f t="shared" si="259"/>
        <v>0</v>
      </c>
      <c r="V1148" s="31">
        <f t="shared" si="259"/>
        <v>0</v>
      </c>
      <c r="W1148" s="31">
        <f t="shared" si="259"/>
        <v>0</v>
      </c>
      <c r="X1148" s="31">
        <f t="shared" si="259"/>
        <v>0</v>
      </c>
      <c r="Y1148" s="31">
        <f t="shared" si="259"/>
        <v>0</v>
      </c>
      <c r="Z1148" s="31">
        <f t="shared" si="259"/>
        <v>0</v>
      </c>
      <c r="AA1148" s="31">
        <f t="shared" si="259"/>
        <v>0</v>
      </c>
      <c r="AB1148" s="31">
        <f t="shared" si="259"/>
        <v>0</v>
      </c>
      <c r="AC1148" s="31">
        <f t="shared" si="259"/>
        <v>28322.69</v>
      </c>
      <c r="AD1148" s="31">
        <f t="shared" si="259"/>
        <v>120000</v>
      </c>
      <c r="AE1148" s="31">
        <f t="shared" si="259"/>
        <v>0</v>
      </c>
      <c r="AF1148" s="168" t="s">
        <v>776</v>
      </c>
      <c r="AG1148" s="168" t="s">
        <v>776</v>
      </c>
      <c r="AH1148" s="169" t="s">
        <v>776</v>
      </c>
      <c r="AT1148" s="20" t="e">
        <f t="shared" si="253"/>
        <v>#N/A</v>
      </c>
      <c r="BZ1148" s="71">
        <v>2036502</v>
      </c>
    </row>
    <row r="1149" spans="1:78" ht="61.5" x14ac:dyDescent="0.85">
      <c r="A1149" s="20">
        <v>1</v>
      </c>
      <c r="B1149" s="66">
        <f>SUBTOTAL(103,$A$948:A1149)</f>
        <v>171</v>
      </c>
      <c r="C1149" s="24" t="s">
        <v>88</v>
      </c>
      <c r="D1149" s="31">
        <f>E1149+F1149+G1149+H1149+I1149+J1149+L1149+N1149+P1149+R1149+T1149+U1149+V1149+W1149+X1149+Y1149+Z1149+AA1149+AB1149+AC1149+AD1149+AE1149</f>
        <v>2036502</v>
      </c>
      <c r="E1149" s="31">
        <v>0</v>
      </c>
      <c r="F1149" s="31">
        <v>0</v>
      </c>
      <c r="G1149" s="31">
        <v>0</v>
      </c>
      <c r="H1149" s="31">
        <v>0</v>
      </c>
      <c r="I1149" s="31">
        <v>0</v>
      </c>
      <c r="J1149" s="31">
        <v>0</v>
      </c>
      <c r="K1149" s="33">
        <v>0</v>
      </c>
      <c r="L1149" s="31">
        <v>0</v>
      </c>
      <c r="M1149" s="31">
        <v>390</v>
      </c>
      <c r="N1149" s="31">
        <v>1888179.31</v>
      </c>
      <c r="O1149" s="31">
        <v>0</v>
      </c>
      <c r="P1149" s="31">
        <v>0</v>
      </c>
      <c r="Q1149" s="31">
        <v>0</v>
      </c>
      <c r="R1149" s="31">
        <v>0</v>
      </c>
      <c r="S1149" s="31">
        <v>0</v>
      </c>
      <c r="T1149" s="31">
        <v>0</v>
      </c>
      <c r="U1149" s="31">
        <v>0</v>
      </c>
      <c r="V1149" s="31">
        <v>0</v>
      </c>
      <c r="W1149" s="31">
        <v>0</v>
      </c>
      <c r="X1149" s="31">
        <v>0</v>
      </c>
      <c r="Y1149" s="31">
        <v>0</v>
      </c>
      <c r="Z1149" s="31">
        <v>0</v>
      </c>
      <c r="AA1149" s="31">
        <v>0</v>
      </c>
      <c r="AB1149" s="31">
        <v>0</v>
      </c>
      <c r="AC1149" s="31">
        <f>ROUND(N1149*1.5%,2)</f>
        <v>28322.69</v>
      </c>
      <c r="AD1149" s="31">
        <v>120000</v>
      </c>
      <c r="AE1149" s="31">
        <v>0</v>
      </c>
      <c r="AF1149" s="34">
        <v>2022</v>
      </c>
      <c r="AG1149" s="34">
        <v>2022</v>
      </c>
      <c r="AH1149" s="35">
        <v>2022</v>
      </c>
      <c r="AT1149" s="20" t="e">
        <f t="shared" si="253"/>
        <v>#N/A</v>
      </c>
      <c r="BZ1149" s="71"/>
    </row>
    <row r="1150" spans="1:78" ht="61.5" x14ac:dyDescent="0.85">
      <c r="B1150" s="24" t="s">
        <v>865</v>
      </c>
      <c r="C1150" s="166"/>
      <c r="D1150" s="31">
        <f>D1151</f>
        <v>3592598.4</v>
      </c>
      <c r="E1150" s="31">
        <f t="shared" ref="E1150:AE1150" si="260">E1151</f>
        <v>0</v>
      </c>
      <c r="F1150" s="31">
        <f t="shared" si="260"/>
        <v>0</v>
      </c>
      <c r="G1150" s="31">
        <f t="shared" si="260"/>
        <v>0</v>
      </c>
      <c r="H1150" s="31">
        <f t="shared" si="260"/>
        <v>0</v>
      </c>
      <c r="I1150" s="31">
        <f t="shared" si="260"/>
        <v>0</v>
      </c>
      <c r="J1150" s="31">
        <f t="shared" si="260"/>
        <v>0</v>
      </c>
      <c r="K1150" s="33">
        <f t="shared" si="260"/>
        <v>0</v>
      </c>
      <c r="L1150" s="31">
        <f t="shared" si="260"/>
        <v>0</v>
      </c>
      <c r="M1150" s="31">
        <f t="shared" si="260"/>
        <v>688</v>
      </c>
      <c r="N1150" s="31">
        <f t="shared" si="260"/>
        <v>3391722.56</v>
      </c>
      <c r="O1150" s="31">
        <f t="shared" si="260"/>
        <v>0</v>
      </c>
      <c r="P1150" s="31">
        <f t="shared" si="260"/>
        <v>0</v>
      </c>
      <c r="Q1150" s="31">
        <f t="shared" si="260"/>
        <v>0</v>
      </c>
      <c r="R1150" s="31">
        <f t="shared" si="260"/>
        <v>0</v>
      </c>
      <c r="S1150" s="31">
        <f t="shared" si="260"/>
        <v>0</v>
      </c>
      <c r="T1150" s="31">
        <f t="shared" si="260"/>
        <v>0</v>
      </c>
      <c r="U1150" s="31">
        <f t="shared" si="260"/>
        <v>0</v>
      </c>
      <c r="V1150" s="31">
        <f t="shared" si="260"/>
        <v>0</v>
      </c>
      <c r="W1150" s="31">
        <f t="shared" si="260"/>
        <v>0</v>
      </c>
      <c r="X1150" s="31">
        <f t="shared" si="260"/>
        <v>0</v>
      </c>
      <c r="Y1150" s="31">
        <f t="shared" si="260"/>
        <v>0</v>
      </c>
      <c r="Z1150" s="31">
        <f t="shared" si="260"/>
        <v>0</v>
      </c>
      <c r="AA1150" s="31">
        <f t="shared" si="260"/>
        <v>0</v>
      </c>
      <c r="AB1150" s="31">
        <f t="shared" si="260"/>
        <v>0</v>
      </c>
      <c r="AC1150" s="31">
        <f t="shared" si="260"/>
        <v>50875.839999999997</v>
      </c>
      <c r="AD1150" s="31">
        <f t="shared" si="260"/>
        <v>150000</v>
      </c>
      <c r="AE1150" s="31">
        <f t="shared" si="260"/>
        <v>0</v>
      </c>
      <c r="AF1150" s="168" t="s">
        <v>776</v>
      </c>
      <c r="AG1150" s="168" t="s">
        <v>776</v>
      </c>
      <c r="AH1150" s="169" t="s">
        <v>776</v>
      </c>
      <c r="AT1150" s="20" t="e">
        <f t="shared" si="253"/>
        <v>#N/A</v>
      </c>
      <c r="BZ1150" s="71">
        <v>3592598.4</v>
      </c>
    </row>
    <row r="1151" spans="1:78" ht="61.5" x14ac:dyDescent="0.85">
      <c r="A1151" s="20">
        <v>1</v>
      </c>
      <c r="B1151" s="66">
        <f>SUBTOTAL(103,$A$948:A1151)</f>
        <v>172</v>
      </c>
      <c r="C1151" s="24" t="s">
        <v>109</v>
      </c>
      <c r="D1151" s="31">
        <f>E1151+F1151+G1151+H1151+I1151+J1151+L1151+N1151+P1151+R1151+T1151+U1151+V1151+W1151+X1151+Y1151+Z1151+AA1151+AB1151+AC1151+AD1151+AE1151</f>
        <v>3592598.4</v>
      </c>
      <c r="E1151" s="31">
        <v>0</v>
      </c>
      <c r="F1151" s="31">
        <v>0</v>
      </c>
      <c r="G1151" s="31">
        <v>0</v>
      </c>
      <c r="H1151" s="31">
        <v>0</v>
      </c>
      <c r="I1151" s="31">
        <v>0</v>
      </c>
      <c r="J1151" s="31">
        <v>0</v>
      </c>
      <c r="K1151" s="33">
        <v>0</v>
      </c>
      <c r="L1151" s="31">
        <v>0</v>
      </c>
      <c r="M1151" s="31">
        <v>688</v>
      </c>
      <c r="N1151" s="31">
        <v>3391722.56</v>
      </c>
      <c r="O1151" s="31">
        <v>0</v>
      </c>
      <c r="P1151" s="31">
        <v>0</v>
      </c>
      <c r="Q1151" s="31">
        <v>0</v>
      </c>
      <c r="R1151" s="31">
        <v>0</v>
      </c>
      <c r="S1151" s="31">
        <v>0</v>
      </c>
      <c r="T1151" s="31">
        <v>0</v>
      </c>
      <c r="U1151" s="31">
        <v>0</v>
      </c>
      <c r="V1151" s="31">
        <v>0</v>
      </c>
      <c r="W1151" s="31">
        <v>0</v>
      </c>
      <c r="X1151" s="31">
        <v>0</v>
      </c>
      <c r="Y1151" s="31">
        <v>0</v>
      </c>
      <c r="Z1151" s="31">
        <v>0</v>
      </c>
      <c r="AA1151" s="31">
        <v>0</v>
      </c>
      <c r="AB1151" s="31">
        <v>0</v>
      </c>
      <c r="AC1151" s="31">
        <f>ROUND(N1151*1.5%,2)</f>
        <v>50875.839999999997</v>
      </c>
      <c r="AD1151" s="31">
        <v>150000</v>
      </c>
      <c r="AE1151" s="31">
        <v>0</v>
      </c>
      <c r="AF1151" s="34">
        <v>2022</v>
      </c>
      <c r="AG1151" s="34">
        <v>2022</v>
      </c>
      <c r="AH1151" s="35">
        <v>2022</v>
      </c>
      <c r="AT1151" s="20" t="e">
        <f t="shared" si="253"/>
        <v>#N/A</v>
      </c>
      <c r="BZ1151" s="71"/>
    </row>
    <row r="1152" spans="1:78" ht="61.5" x14ac:dyDescent="0.85">
      <c r="B1152" s="24" t="s">
        <v>900</v>
      </c>
      <c r="C1152" s="24"/>
      <c r="D1152" s="31">
        <f>D1153</f>
        <v>4454195.3999999994</v>
      </c>
      <c r="E1152" s="31">
        <f t="shared" ref="E1152:AE1152" si="261">E1153</f>
        <v>0</v>
      </c>
      <c r="F1152" s="31">
        <f t="shared" si="261"/>
        <v>0</v>
      </c>
      <c r="G1152" s="31">
        <f t="shared" si="261"/>
        <v>0</v>
      </c>
      <c r="H1152" s="31">
        <f t="shared" si="261"/>
        <v>0</v>
      </c>
      <c r="I1152" s="31">
        <f t="shared" si="261"/>
        <v>0</v>
      </c>
      <c r="J1152" s="31">
        <f t="shared" si="261"/>
        <v>0</v>
      </c>
      <c r="K1152" s="33">
        <f t="shared" si="261"/>
        <v>0</v>
      </c>
      <c r="L1152" s="31">
        <f t="shared" si="261"/>
        <v>0</v>
      </c>
      <c r="M1152" s="31">
        <f t="shared" si="261"/>
        <v>853</v>
      </c>
      <c r="N1152" s="31">
        <f t="shared" si="261"/>
        <v>4240586.5999999996</v>
      </c>
      <c r="O1152" s="31">
        <f t="shared" si="261"/>
        <v>0</v>
      </c>
      <c r="P1152" s="31">
        <f t="shared" si="261"/>
        <v>0</v>
      </c>
      <c r="Q1152" s="31">
        <f t="shared" si="261"/>
        <v>0</v>
      </c>
      <c r="R1152" s="31">
        <f t="shared" si="261"/>
        <v>0</v>
      </c>
      <c r="S1152" s="31">
        <f t="shared" si="261"/>
        <v>0</v>
      </c>
      <c r="T1152" s="31">
        <f t="shared" si="261"/>
        <v>0</v>
      </c>
      <c r="U1152" s="31">
        <f t="shared" si="261"/>
        <v>0</v>
      </c>
      <c r="V1152" s="31">
        <f t="shared" si="261"/>
        <v>0</v>
      </c>
      <c r="W1152" s="31">
        <f t="shared" si="261"/>
        <v>0</v>
      </c>
      <c r="X1152" s="31">
        <f t="shared" si="261"/>
        <v>0</v>
      </c>
      <c r="Y1152" s="31">
        <f t="shared" si="261"/>
        <v>0</v>
      </c>
      <c r="Z1152" s="31">
        <f t="shared" si="261"/>
        <v>0</v>
      </c>
      <c r="AA1152" s="31">
        <f t="shared" si="261"/>
        <v>0</v>
      </c>
      <c r="AB1152" s="31">
        <f t="shared" si="261"/>
        <v>0</v>
      </c>
      <c r="AC1152" s="31">
        <f t="shared" si="261"/>
        <v>63608.800000000003</v>
      </c>
      <c r="AD1152" s="31">
        <f t="shared" si="261"/>
        <v>150000</v>
      </c>
      <c r="AE1152" s="31">
        <f t="shared" si="261"/>
        <v>0</v>
      </c>
      <c r="AF1152" s="168" t="s">
        <v>776</v>
      </c>
      <c r="AG1152" s="168" t="s">
        <v>776</v>
      </c>
      <c r="AH1152" s="169" t="s">
        <v>776</v>
      </c>
      <c r="AT1152" s="20" t="e">
        <f t="shared" si="253"/>
        <v>#N/A</v>
      </c>
      <c r="BZ1152" s="71">
        <v>4454195.3999999994</v>
      </c>
    </row>
    <row r="1153" spans="1:78" ht="61.5" x14ac:dyDescent="0.85">
      <c r="A1153" s="20">
        <v>1</v>
      </c>
      <c r="B1153" s="66">
        <f>SUBTOTAL(103,$A$948:A1153)</f>
        <v>173</v>
      </c>
      <c r="C1153" s="24" t="s">
        <v>111</v>
      </c>
      <c r="D1153" s="31">
        <f>E1153+F1153+G1153+H1153+I1153+J1153+L1153+N1153+P1153+R1153+T1153+U1153+V1153+W1153+X1153+Y1153+Z1153+AA1153+AB1153+AC1153+AD1153+AE1153</f>
        <v>4454195.3999999994</v>
      </c>
      <c r="E1153" s="31">
        <v>0</v>
      </c>
      <c r="F1153" s="31">
        <v>0</v>
      </c>
      <c r="G1153" s="31">
        <v>0</v>
      </c>
      <c r="H1153" s="31">
        <v>0</v>
      </c>
      <c r="I1153" s="31">
        <v>0</v>
      </c>
      <c r="J1153" s="31">
        <v>0</v>
      </c>
      <c r="K1153" s="33">
        <v>0</v>
      </c>
      <c r="L1153" s="31">
        <v>0</v>
      </c>
      <c r="M1153" s="31">
        <v>853</v>
      </c>
      <c r="N1153" s="31">
        <v>4240586.5999999996</v>
      </c>
      <c r="O1153" s="31">
        <v>0</v>
      </c>
      <c r="P1153" s="31">
        <v>0</v>
      </c>
      <c r="Q1153" s="31">
        <v>0</v>
      </c>
      <c r="R1153" s="31">
        <v>0</v>
      </c>
      <c r="S1153" s="31">
        <v>0</v>
      </c>
      <c r="T1153" s="31">
        <v>0</v>
      </c>
      <c r="U1153" s="31">
        <v>0</v>
      </c>
      <c r="V1153" s="31">
        <v>0</v>
      </c>
      <c r="W1153" s="31">
        <v>0</v>
      </c>
      <c r="X1153" s="31">
        <v>0</v>
      </c>
      <c r="Y1153" s="31">
        <v>0</v>
      </c>
      <c r="Z1153" s="31">
        <v>0</v>
      </c>
      <c r="AA1153" s="31">
        <v>0</v>
      </c>
      <c r="AB1153" s="31">
        <v>0</v>
      </c>
      <c r="AC1153" s="31">
        <f>ROUND(N1153*1.5%,2)</f>
        <v>63608.800000000003</v>
      </c>
      <c r="AD1153" s="31">
        <v>150000</v>
      </c>
      <c r="AE1153" s="31">
        <v>0</v>
      </c>
      <c r="AF1153" s="34">
        <v>2022</v>
      </c>
      <c r="AG1153" s="34">
        <v>2022</v>
      </c>
      <c r="AH1153" s="35">
        <v>2022</v>
      </c>
      <c r="AT1153" s="20" t="e">
        <f t="shared" si="253"/>
        <v>#N/A</v>
      </c>
      <c r="BZ1153" s="71"/>
    </row>
    <row r="1154" spans="1:78" ht="61.5" x14ac:dyDescent="0.85">
      <c r="B1154" s="24" t="s">
        <v>915</v>
      </c>
      <c r="C1154" s="166"/>
      <c r="D1154" s="31">
        <f>D1155</f>
        <v>4839701.7600000007</v>
      </c>
      <c r="E1154" s="31">
        <f t="shared" ref="E1154:AE1154" si="262">E1155</f>
        <v>0</v>
      </c>
      <c r="F1154" s="31">
        <f t="shared" si="262"/>
        <v>0</v>
      </c>
      <c r="G1154" s="31">
        <f t="shared" si="262"/>
        <v>0</v>
      </c>
      <c r="H1154" s="31">
        <f t="shared" si="262"/>
        <v>0</v>
      </c>
      <c r="I1154" s="31">
        <f t="shared" si="262"/>
        <v>0</v>
      </c>
      <c r="J1154" s="31">
        <f t="shared" si="262"/>
        <v>0</v>
      </c>
      <c r="K1154" s="33">
        <f t="shared" si="262"/>
        <v>0</v>
      </c>
      <c r="L1154" s="31">
        <f t="shared" si="262"/>
        <v>0</v>
      </c>
      <c r="M1154" s="31">
        <f t="shared" si="262"/>
        <v>926.83</v>
      </c>
      <c r="N1154" s="31">
        <f t="shared" si="262"/>
        <v>4620395.82</v>
      </c>
      <c r="O1154" s="31">
        <f t="shared" si="262"/>
        <v>0</v>
      </c>
      <c r="P1154" s="31">
        <f t="shared" si="262"/>
        <v>0</v>
      </c>
      <c r="Q1154" s="31">
        <f t="shared" si="262"/>
        <v>0</v>
      </c>
      <c r="R1154" s="31">
        <f t="shared" si="262"/>
        <v>0</v>
      </c>
      <c r="S1154" s="31">
        <f t="shared" si="262"/>
        <v>0</v>
      </c>
      <c r="T1154" s="31">
        <f t="shared" si="262"/>
        <v>0</v>
      </c>
      <c r="U1154" s="31">
        <f t="shared" si="262"/>
        <v>0</v>
      </c>
      <c r="V1154" s="31">
        <f t="shared" si="262"/>
        <v>0</v>
      </c>
      <c r="W1154" s="31">
        <f t="shared" si="262"/>
        <v>0</v>
      </c>
      <c r="X1154" s="31">
        <f t="shared" si="262"/>
        <v>0</v>
      </c>
      <c r="Y1154" s="31">
        <f t="shared" si="262"/>
        <v>0</v>
      </c>
      <c r="Z1154" s="31">
        <f t="shared" si="262"/>
        <v>0</v>
      </c>
      <c r="AA1154" s="31">
        <f t="shared" si="262"/>
        <v>0</v>
      </c>
      <c r="AB1154" s="31">
        <f t="shared" si="262"/>
        <v>0</v>
      </c>
      <c r="AC1154" s="31">
        <f t="shared" si="262"/>
        <v>69305.94</v>
      </c>
      <c r="AD1154" s="31">
        <f t="shared" si="262"/>
        <v>150000</v>
      </c>
      <c r="AE1154" s="31">
        <f t="shared" si="262"/>
        <v>0</v>
      </c>
      <c r="AF1154" s="168" t="s">
        <v>776</v>
      </c>
      <c r="AG1154" s="168" t="s">
        <v>776</v>
      </c>
      <c r="AH1154" s="169" t="s">
        <v>776</v>
      </c>
      <c r="AT1154" s="20" t="e">
        <f t="shared" si="253"/>
        <v>#N/A</v>
      </c>
      <c r="BZ1154" s="71">
        <v>4839701.7600000007</v>
      </c>
    </row>
    <row r="1155" spans="1:78" ht="61.5" x14ac:dyDescent="0.85">
      <c r="A1155" s="20">
        <v>1</v>
      </c>
      <c r="B1155" s="66">
        <f>SUBTOTAL(103,$A$948:A1155)</f>
        <v>174</v>
      </c>
      <c r="C1155" s="24" t="s">
        <v>215</v>
      </c>
      <c r="D1155" s="31">
        <f>E1155+F1155+G1155+H1155+I1155+J1155+L1155+N1155+P1155+R1155+T1155+U1155+V1155+W1155+X1155+Y1155+Z1155+AA1155+AB1155+AC1155+AD1155+AE1155</f>
        <v>4839701.7600000007</v>
      </c>
      <c r="E1155" s="31">
        <v>0</v>
      </c>
      <c r="F1155" s="31">
        <v>0</v>
      </c>
      <c r="G1155" s="31">
        <v>0</v>
      </c>
      <c r="H1155" s="31">
        <v>0</v>
      </c>
      <c r="I1155" s="31">
        <v>0</v>
      </c>
      <c r="J1155" s="31">
        <v>0</v>
      </c>
      <c r="K1155" s="33">
        <v>0</v>
      </c>
      <c r="L1155" s="31">
        <v>0</v>
      </c>
      <c r="M1155" s="31">
        <v>926.83</v>
      </c>
      <c r="N1155" s="31">
        <v>4620395.82</v>
      </c>
      <c r="O1155" s="31">
        <v>0</v>
      </c>
      <c r="P1155" s="31">
        <v>0</v>
      </c>
      <c r="Q1155" s="31">
        <v>0</v>
      </c>
      <c r="R1155" s="31">
        <v>0</v>
      </c>
      <c r="S1155" s="31">
        <v>0</v>
      </c>
      <c r="T1155" s="31">
        <v>0</v>
      </c>
      <c r="U1155" s="31">
        <v>0</v>
      </c>
      <c r="V1155" s="31">
        <v>0</v>
      </c>
      <c r="W1155" s="31">
        <v>0</v>
      </c>
      <c r="X1155" s="31">
        <v>0</v>
      </c>
      <c r="Y1155" s="31">
        <v>0</v>
      </c>
      <c r="Z1155" s="31">
        <v>0</v>
      </c>
      <c r="AA1155" s="31">
        <v>0</v>
      </c>
      <c r="AB1155" s="31">
        <v>0</v>
      </c>
      <c r="AC1155" s="31">
        <f>ROUND(N1155*1.5%,2)</f>
        <v>69305.94</v>
      </c>
      <c r="AD1155" s="31">
        <v>150000</v>
      </c>
      <c r="AE1155" s="31">
        <v>0</v>
      </c>
      <c r="AF1155" s="34">
        <v>2022</v>
      </c>
      <c r="AG1155" s="34">
        <v>2022</v>
      </c>
      <c r="AH1155" s="35">
        <v>2022</v>
      </c>
      <c r="AT1155" s="20" t="e">
        <f t="shared" si="253"/>
        <v>#N/A</v>
      </c>
      <c r="BZ1155" s="71"/>
    </row>
    <row r="1156" spans="1:78" ht="61.5" x14ac:dyDescent="0.85">
      <c r="B1156" s="24" t="s">
        <v>866</v>
      </c>
      <c r="C1156" s="166"/>
      <c r="D1156" s="31">
        <f>D1157</f>
        <v>3231458.3</v>
      </c>
      <c r="E1156" s="31">
        <f t="shared" ref="E1156:AE1156" si="263">E1157</f>
        <v>0</v>
      </c>
      <c r="F1156" s="31">
        <f t="shared" si="263"/>
        <v>0</v>
      </c>
      <c r="G1156" s="31">
        <f t="shared" si="263"/>
        <v>0</v>
      </c>
      <c r="H1156" s="31">
        <f t="shared" si="263"/>
        <v>0</v>
      </c>
      <c r="I1156" s="31">
        <f t="shared" si="263"/>
        <v>0</v>
      </c>
      <c r="J1156" s="31">
        <f t="shared" si="263"/>
        <v>0</v>
      </c>
      <c r="K1156" s="33">
        <f t="shared" si="263"/>
        <v>0</v>
      </c>
      <c r="L1156" s="31">
        <f t="shared" si="263"/>
        <v>0</v>
      </c>
      <c r="M1156" s="31">
        <f t="shared" si="263"/>
        <v>670.8</v>
      </c>
      <c r="N1156" s="31">
        <f t="shared" si="263"/>
        <v>3035919.51</v>
      </c>
      <c r="O1156" s="31">
        <f t="shared" si="263"/>
        <v>0</v>
      </c>
      <c r="P1156" s="31">
        <f t="shared" si="263"/>
        <v>0</v>
      </c>
      <c r="Q1156" s="31">
        <f t="shared" si="263"/>
        <v>0</v>
      </c>
      <c r="R1156" s="31">
        <f t="shared" si="263"/>
        <v>0</v>
      </c>
      <c r="S1156" s="31">
        <f t="shared" si="263"/>
        <v>0</v>
      </c>
      <c r="T1156" s="31">
        <f t="shared" si="263"/>
        <v>0</v>
      </c>
      <c r="U1156" s="31">
        <f t="shared" si="263"/>
        <v>0</v>
      </c>
      <c r="V1156" s="31">
        <f t="shared" si="263"/>
        <v>0</v>
      </c>
      <c r="W1156" s="31">
        <f t="shared" si="263"/>
        <v>0</v>
      </c>
      <c r="X1156" s="31">
        <f t="shared" si="263"/>
        <v>0</v>
      </c>
      <c r="Y1156" s="31">
        <f t="shared" si="263"/>
        <v>0</v>
      </c>
      <c r="Z1156" s="31">
        <f t="shared" si="263"/>
        <v>0</v>
      </c>
      <c r="AA1156" s="31">
        <f t="shared" si="263"/>
        <v>0</v>
      </c>
      <c r="AB1156" s="31">
        <f t="shared" si="263"/>
        <v>0</v>
      </c>
      <c r="AC1156" s="31">
        <f t="shared" si="263"/>
        <v>45538.79</v>
      </c>
      <c r="AD1156" s="31">
        <f t="shared" si="263"/>
        <v>150000</v>
      </c>
      <c r="AE1156" s="31">
        <f t="shared" si="263"/>
        <v>0</v>
      </c>
      <c r="AF1156" s="168" t="s">
        <v>776</v>
      </c>
      <c r="AG1156" s="168" t="s">
        <v>776</v>
      </c>
      <c r="AH1156" s="169" t="s">
        <v>776</v>
      </c>
      <c r="AT1156" s="20" t="e">
        <f t="shared" si="253"/>
        <v>#N/A</v>
      </c>
      <c r="BZ1156" s="71">
        <v>3231458.3</v>
      </c>
    </row>
    <row r="1157" spans="1:78" ht="61.5" x14ac:dyDescent="0.85">
      <c r="A1157" s="20">
        <v>1</v>
      </c>
      <c r="B1157" s="66">
        <f>SUBTOTAL(103,$A$948:A1157)</f>
        <v>175</v>
      </c>
      <c r="C1157" s="24" t="s">
        <v>66</v>
      </c>
      <c r="D1157" s="31">
        <f>E1157+F1157+G1157+H1157+I1157+J1157+L1157+N1157+P1157+R1157+T1157+U1157+V1157+W1157+X1157+Y1157+Z1157+AA1157+AB1157+AC1157+AD1157+AE1157</f>
        <v>3231458.3</v>
      </c>
      <c r="E1157" s="31">
        <v>0</v>
      </c>
      <c r="F1157" s="31">
        <v>0</v>
      </c>
      <c r="G1157" s="31">
        <v>0</v>
      </c>
      <c r="H1157" s="31">
        <v>0</v>
      </c>
      <c r="I1157" s="31">
        <v>0</v>
      </c>
      <c r="J1157" s="31">
        <v>0</v>
      </c>
      <c r="K1157" s="33">
        <v>0</v>
      </c>
      <c r="L1157" s="31">
        <v>0</v>
      </c>
      <c r="M1157" s="31">
        <v>670.8</v>
      </c>
      <c r="N1157" s="31">
        <v>3035919.51</v>
      </c>
      <c r="O1157" s="31">
        <v>0</v>
      </c>
      <c r="P1157" s="31">
        <v>0</v>
      </c>
      <c r="Q1157" s="31">
        <v>0</v>
      </c>
      <c r="R1157" s="31">
        <v>0</v>
      </c>
      <c r="S1157" s="31">
        <v>0</v>
      </c>
      <c r="T1157" s="31">
        <v>0</v>
      </c>
      <c r="U1157" s="31">
        <v>0</v>
      </c>
      <c r="V1157" s="31">
        <v>0</v>
      </c>
      <c r="W1157" s="31">
        <v>0</v>
      </c>
      <c r="X1157" s="31">
        <v>0</v>
      </c>
      <c r="Y1157" s="31">
        <v>0</v>
      </c>
      <c r="Z1157" s="31">
        <v>0</v>
      </c>
      <c r="AA1157" s="31">
        <v>0</v>
      </c>
      <c r="AB1157" s="31">
        <v>0</v>
      </c>
      <c r="AC1157" s="31">
        <f>ROUND(N1157*1.5%,2)</f>
        <v>45538.79</v>
      </c>
      <c r="AD1157" s="31">
        <v>150000</v>
      </c>
      <c r="AE1157" s="31">
        <v>0</v>
      </c>
      <c r="AF1157" s="34">
        <v>2022</v>
      </c>
      <c r="AG1157" s="34">
        <v>2022</v>
      </c>
      <c r="AH1157" s="35">
        <v>2022</v>
      </c>
      <c r="AT1157" s="20" t="e">
        <f t="shared" si="253"/>
        <v>#N/A</v>
      </c>
      <c r="BZ1157" s="71"/>
    </row>
    <row r="1158" spans="1:78" ht="61.5" x14ac:dyDescent="0.85">
      <c r="B1158" s="24" t="s">
        <v>868</v>
      </c>
      <c r="C1158" s="24"/>
      <c r="D1158" s="31">
        <f>D1159+D1160+D1161</f>
        <v>16849360.93</v>
      </c>
      <c r="E1158" s="31">
        <f t="shared" ref="E1158:AE1158" si="264">E1159+E1160+E1161</f>
        <v>451170.83</v>
      </c>
      <c r="F1158" s="31">
        <f t="shared" si="264"/>
        <v>885201.84</v>
      </c>
      <c r="G1158" s="31">
        <f t="shared" si="264"/>
        <v>1880858.0000000002</v>
      </c>
      <c r="H1158" s="31">
        <f t="shared" si="264"/>
        <v>667182.5</v>
      </c>
      <c r="I1158" s="31">
        <f t="shared" si="264"/>
        <v>0</v>
      </c>
      <c r="J1158" s="31">
        <f t="shared" si="264"/>
        <v>0</v>
      </c>
      <c r="K1158" s="33">
        <f t="shared" si="264"/>
        <v>0</v>
      </c>
      <c r="L1158" s="31">
        <f t="shared" si="264"/>
        <v>0</v>
      </c>
      <c r="M1158" s="31">
        <f t="shared" si="264"/>
        <v>2286.5</v>
      </c>
      <c r="N1158" s="31">
        <f t="shared" si="264"/>
        <v>12065696.120000001</v>
      </c>
      <c r="O1158" s="31">
        <f t="shared" si="264"/>
        <v>0</v>
      </c>
      <c r="P1158" s="31">
        <f t="shared" si="264"/>
        <v>0</v>
      </c>
      <c r="Q1158" s="31">
        <f t="shared" si="264"/>
        <v>0</v>
      </c>
      <c r="R1158" s="31">
        <f t="shared" si="264"/>
        <v>0</v>
      </c>
      <c r="S1158" s="31">
        <f t="shared" si="264"/>
        <v>0</v>
      </c>
      <c r="T1158" s="31">
        <f t="shared" si="264"/>
        <v>0</v>
      </c>
      <c r="U1158" s="31">
        <f t="shared" si="264"/>
        <v>0</v>
      </c>
      <c r="V1158" s="31">
        <f t="shared" si="264"/>
        <v>0</v>
      </c>
      <c r="W1158" s="31">
        <f t="shared" si="264"/>
        <v>0</v>
      </c>
      <c r="X1158" s="31">
        <f t="shared" si="264"/>
        <v>0</v>
      </c>
      <c r="Y1158" s="31">
        <f t="shared" si="264"/>
        <v>0</v>
      </c>
      <c r="Z1158" s="31">
        <f t="shared" si="264"/>
        <v>0</v>
      </c>
      <c r="AA1158" s="31">
        <f t="shared" si="264"/>
        <v>0</v>
      </c>
      <c r="AB1158" s="31">
        <f t="shared" si="264"/>
        <v>0</v>
      </c>
      <c r="AC1158" s="31">
        <f t="shared" si="264"/>
        <v>239251.64</v>
      </c>
      <c r="AD1158" s="31">
        <f t="shared" si="264"/>
        <v>660000</v>
      </c>
      <c r="AE1158" s="31">
        <f t="shared" si="264"/>
        <v>0</v>
      </c>
      <c r="AF1158" s="168" t="s">
        <v>776</v>
      </c>
      <c r="AG1158" s="168" t="s">
        <v>776</v>
      </c>
      <c r="AH1158" s="169" t="s">
        <v>776</v>
      </c>
      <c r="AT1158" s="20" t="e">
        <f t="shared" si="253"/>
        <v>#N/A</v>
      </c>
      <c r="BZ1158" s="71">
        <v>16849360.93</v>
      </c>
    </row>
    <row r="1159" spans="1:78" ht="61.5" x14ac:dyDescent="0.85">
      <c r="A1159" s="20">
        <v>1</v>
      </c>
      <c r="B1159" s="66">
        <f>SUBTOTAL(103,$A$948:A1159)</f>
        <v>176</v>
      </c>
      <c r="C1159" s="24" t="s">
        <v>69</v>
      </c>
      <c r="D1159" s="31">
        <f>E1159+F1159+G1159+H1159+I1159+J1159+L1159+N1159+P1159+R1159+T1159+U1159+V1159+W1159+X1159+Y1159+Z1159+AA1159+AB1159+AC1159+AD1159+AE1159</f>
        <v>5782944.25</v>
      </c>
      <c r="E1159" s="31">
        <v>0</v>
      </c>
      <c r="F1159" s="31">
        <v>0</v>
      </c>
      <c r="G1159" s="31">
        <v>0</v>
      </c>
      <c r="H1159" s="31">
        <v>0</v>
      </c>
      <c r="I1159" s="31">
        <v>0</v>
      </c>
      <c r="J1159" s="31">
        <v>0</v>
      </c>
      <c r="K1159" s="33">
        <v>0</v>
      </c>
      <c r="L1159" s="31">
        <v>0</v>
      </c>
      <c r="M1159" s="31">
        <v>1047.5999999999999</v>
      </c>
      <c r="N1159" s="31">
        <v>5520142.1200000001</v>
      </c>
      <c r="O1159" s="31">
        <v>0</v>
      </c>
      <c r="P1159" s="31">
        <v>0</v>
      </c>
      <c r="Q1159" s="31">
        <v>0</v>
      </c>
      <c r="R1159" s="31">
        <v>0</v>
      </c>
      <c r="S1159" s="31">
        <v>0</v>
      </c>
      <c r="T1159" s="31">
        <v>0</v>
      </c>
      <c r="U1159" s="31">
        <v>0</v>
      </c>
      <c r="V1159" s="31">
        <v>0</v>
      </c>
      <c r="W1159" s="31">
        <v>0</v>
      </c>
      <c r="X1159" s="31">
        <v>0</v>
      </c>
      <c r="Y1159" s="31">
        <v>0</v>
      </c>
      <c r="Z1159" s="31">
        <v>0</v>
      </c>
      <c r="AA1159" s="31">
        <v>0</v>
      </c>
      <c r="AB1159" s="31">
        <v>0</v>
      </c>
      <c r="AC1159" s="31">
        <f>ROUND(N1159*1.5%,2)</f>
        <v>82802.13</v>
      </c>
      <c r="AD1159" s="31">
        <v>180000</v>
      </c>
      <c r="AE1159" s="31">
        <v>0</v>
      </c>
      <c r="AF1159" s="34">
        <v>2022</v>
      </c>
      <c r="AG1159" s="34">
        <v>2022</v>
      </c>
      <c r="AH1159" s="35">
        <v>2022</v>
      </c>
      <c r="AT1159" s="20" t="e">
        <f t="shared" si="253"/>
        <v>#N/A</v>
      </c>
      <c r="BZ1159" s="71"/>
    </row>
    <row r="1160" spans="1:78" ht="61.5" x14ac:dyDescent="0.85">
      <c r="A1160" s="20">
        <v>1</v>
      </c>
      <c r="B1160" s="66">
        <f>SUBTOTAL(103,$A$948:A1160)</f>
        <v>177</v>
      </c>
      <c r="C1160" s="24" t="s">
        <v>68</v>
      </c>
      <c r="D1160" s="31">
        <f>E1160+F1160+G1160+H1160+I1160+J1160+L1160+N1160+P1160+R1160+T1160+U1160+V1160+W1160+X1160+Y1160+Z1160+AA1160+AB1160+AC1160+AD1160+AE1160</f>
        <v>6823737.3099999996</v>
      </c>
      <c r="E1160" s="31">
        <v>0</v>
      </c>
      <c r="F1160" s="31">
        <v>0</v>
      </c>
      <c r="G1160" s="31">
        <v>0</v>
      </c>
      <c r="H1160" s="31">
        <v>0</v>
      </c>
      <c r="I1160" s="31">
        <v>0</v>
      </c>
      <c r="J1160" s="31">
        <v>0</v>
      </c>
      <c r="K1160" s="33">
        <v>0</v>
      </c>
      <c r="L1160" s="31">
        <v>0</v>
      </c>
      <c r="M1160" s="31">
        <v>1238.9000000000001</v>
      </c>
      <c r="N1160" s="31">
        <v>6545554</v>
      </c>
      <c r="O1160" s="31">
        <v>0</v>
      </c>
      <c r="P1160" s="31">
        <v>0</v>
      </c>
      <c r="Q1160" s="31">
        <v>0</v>
      </c>
      <c r="R1160" s="31">
        <v>0</v>
      </c>
      <c r="S1160" s="31">
        <v>0</v>
      </c>
      <c r="T1160" s="31">
        <v>0</v>
      </c>
      <c r="U1160" s="31">
        <v>0</v>
      </c>
      <c r="V1160" s="31">
        <v>0</v>
      </c>
      <c r="W1160" s="31">
        <v>0</v>
      </c>
      <c r="X1160" s="31">
        <v>0</v>
      </c>
      <c r="Y1160" s="31">
        <v>0</v>
      </c>
      <c r="Z1160" s="31">
        <v>0</v>
      </c>
      <c r="AA1160" s="31">
        <v>0</v>
      </c>
      <c r="AB1160" s="31">
        <v>0</v>
      </c>
      <c r="AC1160" s="31">
        <f>ROUND(N1160*1.5%,2)</f>
        <v>98183.31</v>
      </c>
      <c r="AD1160" s="31">
        <v>180000</v>
      </c>
      <c r="AE1160" s="31">
        <v>0</v>
      </c>
      <c r="AF1160" s="34">
        <v>2022</v>
      </c>
      <c r="AG1160" s="34">
        <v>2022</v>
      </c>
      <c r="AH1160" s="35">
        <v>2022</v>
      </c>
      <c r="AT1160" s="20" t="e">
        <f t="shared" si="253"/>
        <v>#N/A</v>
      </c>
      <c r="BZ1160" s="71"/>
    </row>
    <row r="1161" spans="1:78" ht="61.5" x14ac:dyDescent="0.85">
      <c r="A1161" s="20">
        <v>1</v>
      </c>
      <c r="B1161" s="66">
        <f>SUBTOTAL(103,$A$948:A1161)</f>
        <v>178</v>
      </c>
      <c r="C1161" s="24" t="s">
        <v>67</v>
      </c>
      <c r="D1161" s="31">
        <f>E1161+F1161+G1161+H1161+I1161+J1161+L1161+N1161+P1161+R1161+T1161+U1161+V1161+W1161+X1161+Y1161+Z1161+AA1161+AB1161+AC1161+AD1161+AE1161</f>
        <v>4242679.37</v>
      </c>
      <c r="E1161" s="31">
        <v>451170.83</v>
      </c>
      <c r="F1161" s="31">
        <v>885201.84</v>
      </c>
      <c r="G1161" s="31">
        <v>1880858.0000000002</v>
      </c>
      <c r="H1161" s="31">
        <v>667182.5</v>
      </c>
      <c r="I1161" s="31">
        <v>0</v>
      </c>
      <c r="J1161" s="31">
        <v>0</v>
      </c>
      <c r="K1161" s="33">
        <v>0</v>
      </c>
      <c r="L1161" s="31">
        <v>0</v>
      </c>
      <c r="M1161" s="31">
        <v>0</v>
      </c>
      <c r="N1161" s="31">
        <v>0</v>
      </c>
      <c r="O1161" s="31">
        <v>0</v>
      </c>
      <c r="P1161" s="31">
        <v>0</v>
      </c>
      <c r="Q1161" s="31">
        <v>0</v>
      </c>
      <c r="R1161" s="31">
        <v>0</v>
      </c>
      <c r="S1161" s="31">
        <v>0</v>
      </c>
      <c r="T1161" s="31">
        <v>0</v>
      </c>
      <c r="U1161" s="31">
        <v>0</v>
      </c>
      <c r="V1161" s="31">
        <v>0</v>
      </c>
      <c r="W1161" s="31">
        <v>0</v>
      </c>
      <c r="X1161" s="31">
        <v>0</v>
      </c>
      <c r="Y1161" s="31">
        <v>0</v>
      </c>
      <c r="Z1161" s="31">
        <v>0</v>
      </c>
      <c r="AA1161" s="31">
        <v>0</v>
      </c>
      <c r="AB1161" s="31">
        <v>0</v>
      </c>
      <c r="AC1161" s="31">
        <f>ROUND((E1161+F1161+G1161+H1161+I1161+J1161)*1.5%,2)</f>
        <v>58266.2</v>
      </c>
      <c r="AD1161" s="31">
        <v>300000</v>
      </c>
      <c r="AE1161" s="31">
        <v>0</v>
      </c>
      <c r="AF1161" s="34">
        <v>2022</v>
      </c>
      <c r="AG1161" s="34">
        <v>2022</v>
      </c>
      <c r="AH1161" s="35">
        <v>2022</v>
      </c>
      <c r="AT1161" s="20" t="e">
        <f t="shared" si="253"/>
        <v>#N/A</v>
      </c>
      <c r="BZ1161" s="71"/>
    </row>
    <row r="1162" spans="1:78" ht="61.5" x14ac:dyDescent="0.85">
      <c r="B1162" s="24" t="s">
        <v>869</v>
      </c>
      <c r="C1162" s="24"/>
      <c r="D1162" s="31">
        <f>D1163</f>
        <v>3799734.79</v>
      </c>
      <c r="E1162" s="31">
        <f t="shared" ref="E1162:AE1162" si="265">E1163</f>
        <v>0</v>
      </c>
      <c r="F1162" s="31">
        <f t="shared" si="265"/>
        <v>0</v>
      </c>
      <c r="G1162" s="31">
        <f t="shared" si="265"/>
        <v>0</v>
      </c>
      <c r="H1162" s="31">
        <f t="shared" si="265"/>
        <v>0</v>
      </c>
      <c r="I1162" s="31">
        <f t="shared" si="265"/>
        <v>0</v>
      </c>
      <c r="J1162" s="31">
        <f t="shared" si="265"/>
        <v>0</v>
      </c>
      <c r="K1162" s="33">
        <f t="shared" si="265"/>
        <v>0</v>
      </c>
      <c r="L1162" s="31">
        <f t="shared" si="265"/>
        <v>0</v>
      </c>
      <c r="M1162" s="31">
        <f t="shared" si="265"/>
        <v>0</v>
      </c>
      <c r="N1162" s="31">
        <f t="shared" si="265"/>
        <v>0</v>
      </c>
      <c r="O1162" s="31">
        <f t="shared" si="265"/>
        <v>0</v>
      </c>
      <c r="P1162" s="31">
        <f t="shared" si="265"/>
        <v>0</v>
      </c>
      <c r="Q1162" s="31">
        <f t="shared" si="265"/>
        <v>0</v>
      </c>
      <c r="R1162" s="31">
        <f t="shared" si="265"/>
        <v>0</v>
      </c>
      <c r="S1162" s="31">
        <f t="shared" si="265"/>
        <v>72.77</v>
      </c>
      <c r="T1162" s="31">
        <f t="shared" si="265"/>
        <v>3595797.82</v>
      </c>
      <c r="U1162" s="31">
        <f t="shared" si="265"/>
        <v>0</v>
      </c>
      <c r="V1162" s="31">
        <f t="shared" si="265"/>
        <v>0</v>
      </c>
      <c r="W1162" s="31">
        <f t="shared" si="265"/>
        <v>0</v>
      </c>
      <c r="X1162" s="31">
        <f t="shared" si="265"/>
        <v>0</v>
      </c>
      <c r="Y1162" s="31">
        <f t="shared" si="265"/>
        <v>0</v>
      </c>
      <c r="Z1162" s="31">
        <f t="shared" si="265"/>
        <v>0</v>
      </c>
      <c r="AA1162" s="31">
        <f t="shared" si="265"/>
        <v>0</v>
      </c>
      <c r="AB1162" s="31">
        <f t="shared" si="265"/>
        <v>0</v>
      </c>
      <c r="AC1162" s="31">
        <f t="shared" si="265"/>
        <v>53936.97</v>
      </c>
      <c r="AD1162" s="31">
        <f t="shared" si="265"/>
        <v>150000</v>
      </c>
      <c r="AE1162" s="31">
        <f t="shared" si="265"/>
        <v>0</v>
      </c>
      <c r="AF1162" s="168" t="s">
        <v>776</v>
      </c>
      <c r="AG1162" s="168" t="s">
        <v>776</v>
      </c>
      <c r="AH1162" s="169" t="s">
        <v>776</v>
      </c>
      <c r="AT1162" s="20" t="e">
        <f t="shared" si="253"/>
        <v>#N/A</v>
      </c>
      <c r="BZ1162" s="71">
        <v>3799734.79</v>
      </c>
    </row>
    <row r="1163" spans="1:78" ht="61.5" x14ac:dyDescent="0.85">
      <c r="A1163" s="20">
        <v>1</v>
      </c>
      <c r="B1163" s="66">
        <f>SUBTOTAL(103,$A$948:A1163)</f>
        <v>179</v>
      </c>
      <c r="C1163" s="24" t="s">
        <v>65</v>
      </c>
      <c r="D1163" s="31">
        <f>E1163+F1163+G1163+H1163+I1163+J1163+L1163+N1163+P1163+R1163+T1163+U1163+V1163+W1163+X1163+Y1163+Z1163+AA1163+AB1163+AC1163+AD1163+AE1163</f>
        <v>3799734.79</v>
      </c>
      <c r="E1163" s="31">
        <v>0</v>
      </c>
      <c r="F1163" s="31">
        <v>0</v>
      </c>
      <c r="G1163" s="31">
        <v>0</v>
      </c>
      <c r="H1163" s="31">
        <v>0</v>
      </c>
      <c r="I1163" s="31">
        <v>0</v>
      </c>
      <c r="J1163" s="31">
        <v>0</v>
      </c>
      <c r="K1163" s="33">
        <v>0</v>
      </c>
      <c r="L1163" s="31">
        <v>0</v>
      </c>
      <c r="M1163" s="31">
        <v>0</v>
      </c>
      <c r="N1163" s="31">
        <v>0</v>
      </c>
      <c r="O1163" s="31">
        <v>0</v>
      </c>
      <c r="P1163" s="31">
        <v>0</v>
      </c>
      <c r="Q1163" s="31">
        <v>0</v>
      </c>
      <c r="R1163" s="31">
        <v>0</v>
      </c>
      <c r="S1163" s="31">
        <v>72.77</v>
      </c>
      <c r="T1163" s="31">
        <v>3595797.82</v>
      </c>
      <c r="U1163" s="31">
        <v>0</v>
      </c>
      <c r="V1163" s="31">
        <v>0</v>
      </c>
      <c r="W1163" s="31">
        <v>0</v>
      </c>
      <c r="X1163" s="31">
        <v>0</v>
      </c>
      <c r="Y1163" s="31">
        <v>0</v>
      </c>
      <c r="Z1163" s="31">
        <v>0</v>
      </c>
      <c r="AA1163" s="31">
        <v>0</v>
      </c>
      <c r="AB1163" s="31">
        <v>0</v>
      </c>
      <c r="AC1163" s="31">
        <f>ROUND(T1163*1.5%,2)</f>
        <v>53936.97</v>
      </c>
      <c r="AD1163" s="31">
        <v>150000</v>
      </c>
      <c r="AE1163" s="31">
        <v>0</v>
      </c>
      <c r="AF1163" s="34">
        <v>2022</v>
      </c>
      <c r="AG1163" s="34">
        <v>2022</v>
      </c>
      <c r="AH1163" s="35">
        <v>2022</v>
      </c>
      <c r="AT1163" s="20" t="e">
        <f t="shared" si="253"/>
        <v>#N/A</v>
      </c>
      <c r="BZ1163" s="71"/>
    </row>
    <row r="1164" spans="1:78" ht="61.5" x14ac:dyDescent="0.85">
      <c r="B1164" s="24" t="s">
        <v>870</v>
      </c>
      <c r="C1164" s="24"/>
      <c r="D1164" s="31">
        <f>D1165</f>
        <v>2311215.4500000002</v>
      </c>
      <c r="E1164" s="31">
        <f t="shared" ref="E1164:AE1164" si="266">E1165</f>
        <v>0</v>
      </c>
      <c r="F1164" s="31">
        <f t="shared" si="266"/>
        <v>0</v>
      </c>
      <c r="G1164" s="31">
        <f t="shared" si="266"/>
        <v>0</v>
      </c>
      <c r="H1164" s="31">
        <f t="shared" si="266"/>
        <v>0</v>
      </c>
      <c r="I1164" s="31">
        <f t="shared" si="266"/>
        <v>0</v>
      </c>
      <c r="J1164" s="31">
        <f t="shared" si="266"/>
        <v>0</v>
      </c>
      <c r="K1164" s="33">
        <f t="shared" si="266"/>
        <v>0</v>
      </c>
      <c r="L1164" s="31">
        <f t="shared" si="266"/>
        <v>0</v>
      </c>
      <c r="M1164" s="31">
        <f t="shared" si="266"/>
        <v>470</v>
      </c>
      <c r="N1164" s="31">
        <f t="shared" si="266"/>
        <v>2158832.96</v>
      </c>
      <c r="O1164" s="31">
        <f t="shared" si="266"/>
        <v>0</v>
      </c>
      <c r="P1164" s="31">
        <f t="shared" si="266"/>
        <v>0</v>
      </c>
      <c r="Q1164" s="31">
        <f t="shared" si="266"/>
        <v>0</v>
      </c>
      <c r="R1164" s="31">
        <f t="shared" si="266"/>
        <v>0</v>
      </c>
      <c r="S1164" s="31">
        <f t="shared" si="266"/>
        <v>0</v>
      </c>
      <c r="T1164" s="31">
        <f t="shared" si="266"/>
        <v>0</v>
      </c>
      <c r="U1164" s="31">
        <f t="shared" si="266"/>
        <v>0</v>
      </c>
      <c r="V1164" s="31">
        <f t="shared" si="266"/>
        <v>0</v>
      </c>
      <c r="W1164" s="31">
        <f t="shared" si="266"/>
        <v>0</v>
      </c>
      <c r="X1164" s="31">
        <f t="shared" si="266"/>
        <v>0</v>
      </c>
      <c r="Y1164" s="31">
        <f t="shared" si="266"/>
        <v>0</v>
      </c>
      <c r="Z1164" s="31">
        <f t="shared" si="266"/>
        <v>0</v>
      </c>
      <c r="AA1164" s="31">
        <f t="shared" si="266"/>
        <v>0</v>
      </c>
      <c r="AB1164" s="31">
        <f t="shared" si="266"/>
        <v>0</v>
      </c>
      <c r="AC1164" s="31">
        <f t="shared" si="266"/>
        <v>32382.49</v>
      </c>
      <c r="AD1164" s="31">
        <f t="shared" si="266"/>
        <v>120000</v>
      </c>
      <c r="AE1164" s="31">
        <f t="shared" si="266"/>
        <v>0</v>
      </c>
      <c r="AF1164" s="168" t="s">
        <v>776</v>
      </c>
      <c r="AG1164" s="168" t="s">
        <v>776</v>
      </c>
      <c r="AH1164" s="169" t="s">
        <v>776</v>
      </c>
      <c r="AT1164" s="20" t="e">
        <f t="shared" si="253"/>
        <v>#N/A</v>
      </c>
      <c r="BZ1164" s="71">
        <v>2311215.4500000002</v>
      </c>
    </row>
    <row r="1165" spans="1:78" ht="61.5" x14ac:dyDescent="0.85">
      <c r="A1165" s="20">
        <v>1</v>
      </c>
      <c r="B1165" s="66">
        <f>SUBTOTAL(103,$A$948:A1165)</f>
        <v>180</v>
      </c>
      <c r="C1165" s="24" t="s">
        <v>64</v>
      </c>
      <c r="D1165" s="31">
        <f>E1165+F1165+G1165+H1165+I1165+J1165+L1165+N1165+P1165+R1165+T1165+U1165+V1165+W1165+X1165+Y1165+Z1165+AA1165+AB1165+AC1165+AD1165+AE1165</f>
        <v>2311215.4500000002</v>
      </c>
      <c r="E1165" s="31">
        <v>0</v>
      </c>
      <c r="F1165" s="31">
        <v>0</v>
      </c>
      <c r="G1165" s="31">
        <v>0</v>
      </c>
      <c r="H1165" s="31">
        <v>0</v>
      </c>
      <c r="I1165" s="31">
        <v>0</v>
      </c>
      <c r="J1165" s="31">
        <v>0</v>
      </c>
      <c r="K1165" s="33">
        <v>0</v>
      </c>
      <c r="L1165" s="31">
        <v>0</v>
      </c>
      <c r="M1165" s="31">
        <v>470</v>
      </c>
      <c r="N1165" s="31">
        <v>2158832.96</v>
      </c>
      <c r="O1165" s="31">
        <v>0</v>
      </c>
      <c r="P1165" s="31">
        <v>0</v>
      </c>
      <c r="Q1165" s="31">
        <v>0</v>
      </c>
      <c r="R1165" s="31">
        <v>0</v>
      </c>
      <c r="S1165" s="31">
        <v>0</v>
      </c>
      <c r="T1165" s="31">
        <v>0</v>
      </c>
      <c r="U1165" s="31">
        <v>0</v>
      </c>
      <c r="V1165" s="31">
        <v>0</v>
      </c>
      <c r="W1165" s="31">
        <v>0</v>
      </c>
      <c r="X1165" s="31">
        <v>0</v>
      </c>
      <c r="Y1165" s="31">
        <v>0</v>
      </c>
      <c r="Z1165" s="31">
        <v>0</v>
      </c>
      <c r="AA1165" s="31">
        <v>0</v>
      </c>
      <c r="AB1165" s="31">
        <v>0</v>
      </c>
      <c r="AC1165" s="31">
        <f>ROUND(N1165*1.5%,2)</f>
        <v>32382.49</v>
      </c>
      <c r="AD1165" s="31">
        <v>120000</v>
      </c>
      <c r="AE1165" s="31">
        <v>0</v>
      </c>
      <c r="AF1165" s="34">
        <v>2022</v>
      </c>
      <c r="AG1165" s="34">
        <v>2022</v>
      </c>
      <c r="AH1165" s="35">
        <v>2022</v>
      </c>
      <c r="AT1165" s="20" t="e">
        <f t="shared" si="253"/>
        <v>#N/A</v>
      </c>
      <c r="BZ1165" s="71"/>
    </row>
    <row r="1166" spans="1:78" ht="61.5" x14ac:dyDescent="0.85">
      <c r="B1166" s="24" t="s">
        <v>909</v>
      </c>
      <c r="C1166" s="24"/>
      <c r="D1166" s="31">
        <f>D1167</f>
        <v>3215375.5700000003</v>
      </c>
      <c r="E1166" s="31">
        <f t="shared" ref="E1166:AE1166" si="267">E1167</f>
        <v>0</v>
      </c>
      <c r="F1166" s="31">
        <f t="shared" si="267"/>
        <v>0</v>
      </c>
      <c r="G1166" s="31">
        <f t="shared" si="267"/>
        <v>0</v>
      </c>
      <c r="H1166" s="31">
        <f t="shared" si="267"/>
        <v>0</v>
      </c>
      <c r="I1166" s="31">
        <f t="shared" si="267"/>
        <v>0</v>
      </c>
      <c r="J1166" s="31">
        <f t="shared" si="267"/>
        <v>0</v>
      </c>
      <c r="K1166" s="33">
        <f t="shared" si="267"/>
        <v>0</v>
      </c>
      <c r="L1166" s="31">
        <f t="shared" si="267"/>
        <v>0</v>
      </c>
      <c r="M1166" s="31">
        <f t="shared" si="267"/>
        <v>615.76</v>
      </c>
      <c r="N1166" s="31">
        <f t="shared" si="267"/>
        <v>3020074.45</v>
      </c>
      <c r="O1166" s="31">
        <f t="shared" si="267"/>
        <v>0</v>
      </c>
      <c r="P1166" s="31">
        <f t="shared" si="267"/>
        <v>0</v>
      </c>
      <c r="Q1166" s="31">
        <f t="shared" si="267"/>
        <v>0</v>
      </c>
      <c r="R1166" s="31">
        <f t="shared" si="267"/>
        <v>0</v>
      </c>
      <c r="S1166" s="31">
        <f t="shared" si="267"/>
        <v>0</v>
      </c>
      <c r="T1166" s="31">
        <f t="shared" si="267"/>
        <v>0</v>
      </c>
      <c r="U1166" s="31">
        <f t="shared" si="267"/>
        <v>0</v>
      </c>
      <c r="V1166" s="31">
        <f t="shared" si="267"/>
        <v>0</v>
      </c>
      <c r="W1166" s="31">
        <f t="shared" si="267"/>
        <v>0</v>
      </c>
      <c r="X1166" s="31">
        <f t="shared" si="267"/>
        <v>0</v>
      </c>
      <c r="Y1166" s="31">
        <f t="shared" si="267"/>
        <v>0</v>
      </c>
      <c r="Z1166" s="31">
        <f t="shared" si="267"/>
        <v>0</v>
      </c>
      <c r="AA1166" s="31">
        <f t="shared" si="267"/>
        <v>0</v>
      </c>
      <c r="AB1166" s="31">
        <f t="shared" si="267"/>
        <v>0</v>
      </c>
      <c r="AC1166" s="31">
        <f t="shared" si="267"/>
        <v>45301.120000000003</v>
      </c>
      <c r="AD1166" s="31">
        <f t="shared" si="267"/>
        <v>150000</v>
      </c>
      <c r="AE1166" s="31">
        <f t="shared" si="267"/>
        <v>0</v>
      </c>
      <c r="AF1166" s="168" t="s">
        <v>776</v>
      </c>
      <c r="AG1166" s="168" t="s">
        <v>776</v>
      </c>
      <c r="AH1166" s="169" t="s">
        <v>776</v>
      </c>
      <c r="AT1166" s="20" t="e">
        <f t="shared" si="253"/>
        <v>#N/A</v>
      </c>
      <c r="BZ1166" s="71">
        <v>3215375.5700000003</v>
      </c>
    </row>
    <row r="1167" spans="1:78" ht="61.5" x14ac:dyDescent="0.85">
      <c r="A1167" s="20">
        <v>1</v>
      </c>
      <c r="B1167" s="66">
        <f>SUBTOTAL(103,$A$948:A1167)</f>
        <v>181</v>
      </c>
      <c r="C1167" s="24" t="s">
        <v>70</v>
      </c>
      <c r="D1167" s="31">
        <f>E1167+F1167+G1167+H1167+I1167+J1167+L1167+N1167+P1167+R1167+T1167+U1167+V1167+W1167+X1167+Y1167+Z1167+AA1167+AB1167+AC1167+AD1167+AE1167</f>
        <v>3215375.5700000003</v>
      </c>
      <c r="E1167" s="31">
        <v>0</v>
      </c>
      <c r="F1167" s="31">
        <v>0</v>
      </c>
      <c r="G1167" s="31">
        <v>0</v>
      </c>
      <c r="H1167" s="31">
        <v>0</v>
      </c>
      <c r="I1167" s="31">
        <v>0</v>
      </c>
      <c r="J1167" s="31">
        <v>0</v>
      </c>
      <c r="K1167" s="33">
        <v>0</v>
      </c>
      <c r="L1167" s="31">
        <v>0</v>
      </c>
      <c r="M1167" s="31">
        <v>615.76</v>
      </c>
      <c r="N1167" s="31">
        <v>3020074.45</v>
      </c>
      <c r="O1167" s="31">
        <v>0</v>
      </c>
      <c r="P1167" s="31">
        <v>0</v>
      </c>
      <c r="Q1167" s="31">
        <v>0</v>
      </c>
      <c r="R1167" s="31">
        <v>0</v>
      </c>
      <c r="S1167" s="31">
        <v>0</v>
      </c>
      <c r="T1167" s="31">
        <v>0</v>
      </c>
      <c r="U1167" s="31">
        <v>0</v>
      </c>
      <c r="V1167" s="31">
        <v>0</v>
      </c>
      <c r="W1167" s="31">
        <v>0</v>
      </c>
      <c r="X1167" s="31">
        <v>0</v>
      </c>
      <c r="Y1167" s="31">
        <v>0</v>
      </c>
      <c r="Z1167" s="31">
        <v>0</v>
      </c>
      <c r="AA1167" s="31">
        <v>0</v>
      </c>
      <c r="AB1167" s="31">
        <v>0</v>
      </c>
      <c r="AC1167" s="31">
        <f>ROUND(N1167*1.5%,2)</f>
        <v>45301.120000000003</v>
      </c>
      <c r="AD1167" s="31">
        <v>150000</v>
      </c>
      <c r="AE1167" s="31">
        <v>0</v>
      </c>
      <c r="AF1167" s="34">
        <v>2022</v>
      </c>
      <c r="AG1167" s="34">
        <v>2022</v>
      </c>
      <c r="AH1167" s="35">
        <v>2022</v>
      </c>
      <c r="AT1167" s="20" t="e">
        <f t="shared" si="253"/>
        <v>#N/A</v>
      </c>
      <c r="BZ1167" s="71"/>
    </row>
    <row r="1168" spans="1:78" ht="61.5" x14ac:dyDescent="0.85">
      <c r="B1168" s="24" t="s">
        <v>871</v>
      </c>
      <c r="C1168" s="24"/>
      <c r="D1168" s="31">
        <f>D1169+D1170+D1171</f>
        <v>10672314.84</v>
      </c>
      <c r="E1168" s="31">
        <f t="shared" ref="E1168:AE1168" si="268">E1169+E1170+E1171</f>
        <v>0</v>
      </c>
      <c r="F1168" s="31">
        <f t="shared" si="268"/>
        <v>0</v>
      </c>
      <c r="G1168" s="31">
        <f t="shared" si="268"/>
        <v>0</v>
      </c>
      <c r="H1168" s="31">
        <f t="shared" si="268"/>
        <v>0</v>
      </c>
      <c r="I1168" s="31">
        <f t="shared" si="268"/>
        <v>0</v>
      </c>
      <c r="J1168" s="31">
        <f t="shared" si="268"/>
        <v>0</v>
      </c>
      <c r="K1168" s="33">
        <f t="shared" si="268"/>
        <v>0</v>
      </c>
      <c r="L1168" s="31">
        <f t="shared" si="268"/>
        <v>0</v>
      </c>
      <c r="M1168" s="31">
        <f t="shared" si="268"/>
        <v>2043.8</v>
      </c>
      <c r="N1168" s="31">
        <f t="shared" si="268"/>
        <v>10100802.800000001</v>
      </c>
      <c r="O1168" s="31">
        <f t="shared" si="268"/>
        <v>0</v>
      </c>
      <c r="P1168" s="31">
        <f t="shared" si="268"/>
        <v>0</v>
      </c>
      <c r="Q1168" s="31">
        <f t="shared" si="268"/>
        <v>0</v>
      </c>
      <c r="R1168" s="31">
        <f t="shared" si="268"/>
        <v>0</v>
      </c>
      <c r="S1168" s="31">
        <f t="shared" si="268"/>
        <v>0</v>
      </c>
      <c r="T1168" s="31">
        <f t="shared" si="268"/>
        <v>0</v>
      </c>
      <c r="U1168" s="31">
        <f t="shared" si="268"/>
        <v>0</v>
      </c>
      <c r="V1168" s="31">
        <f t="shared" si="268"/>
        <v>0</v>
      </c>
      <c r="W1168" s="31">
        <f t="shared" si="268"/>
        <v>0</v>
      </c>
      <c r="X1168" s="31">
        <f t="shared" si="268"/>
        <v>0</v>
      </c>
      <c r="Y1168" s="31">
        <f t="shared" si="268"/>
        <v>0</v>
      </c>
      <c r="Z1168" s="31">
        <f t="shared" si="268"/>
        <v>0</v>
      </c>
      <c r="AA1168" s="31">
        <f t="shared" si="268"/>
        <v>0</v>
      </c>
      <c r="AB1168" s="31">
        <f t="shared" si="268"/>
        <v>0</v>
      </c>
      <c r="AC1168" s="31">
        <f t="shared" si="268"/>
        <v>151512.04</v>
      </c>
      <c r="AD1168" s="31">
        <f t="shared" si="268"/>
        <v>420000</v>
      </c>
      <c r="AE1168" s="31">
        <f t="shared" si="268"/>
        <v>0</v>
      </c>
      <c r="AF1168" s="168" t="s">
        <v>776</v>
      </c>
      <c r="AG1168" s="168" t="s">
        <v>776</v>
      </c>
      <c r="AH1168" s="169" t="s">
        <v>776</v>
      </c>
      <c r="AT1168" s="20" t="e">
        <f t="shared" si="253"/>
        <v>#N/A</v>
      </c>
      <c r="BZ1168" s="71">
        <v>10672314.84</v>
      </c>
    </row>
    <row r="1169" spans="1:78" ht="61.5" x14ac:dyDescent="0.85">
      <c r="A1169" s="20">
        <v>1</v>
      </c>
      <c r="B1169" s="66">
        <f>SUBTOTAL(103,$A$948:A1169)</f>
        <v>182</v>
      </c>
      <c r="C1169" s="24" t="s">
        <v>71</v>
      </c>
      <c r="D1169" s="31">
        <f>E1169+F1169+G1169+H1169+I1169+J1169+L1169+N1169+P1169+R1169+T1169+U1169+V1169+W1169+X1169+Y1169+Z1169+AA1169+AB1169+AC1169+AD1169+AE1169</f>
        <v>2391584.4</v>
      </c>
      <c r="E1169" s="31">
        <v>0</v>
      </c>
      <c r="F1169" s="31">
        <v>0</v>
      </c>
      <c r="G1169" s="31">
        <v>0</v>
      </c>
      <c r="H1169" s="31">
        <v>0</v>
      </c>
      <c r="I1169" s="31">
        <v>0</v>
      </c>
      <c r="J1169" s="31">
        <v>0</v>
      </c>
      <c r="K1169" s="33">
        <v>0</v>
      </c>
      <c r="L1169" s="31">
        <v>0</v>
      </c>
      <c r="M1169" s="31">
        <v>458</v>
      </c>
      <c r="N1169" s="31">
        <v>2238014.19</v>
      </c>
      <c r="O1169" s="31">
        <v>0</v>
      </c>
      <c r="P1169" s="31">
        <v>0</v>
      </c>
      <c r="Q1169" s="31">
        <v>0</v>
      </c>
      <c r="R1169" s="31">
        <v>0</v>
      </c>
      <c r="S1169" s="31">
        <v>0</v>
      </c>
      <c r="T1169" s="31">
        <v>0</v>
      </c>
      <c r="U1169" s="31">
        <v>0</v>
      </c>
      <c r="V1169" s="31">
        <v>0</v>
      </c>
      <c r="W1169" s="31">
        <v>0</v>
      </c>
      <c r="X1169" s="31">
        <v>0</v>
      </c>
      <c r="Y1169" s="31">
        <v>0</v>
      </c>
      <c r="Z1169" s="31">
        <v>0</v>
      </c>
      <c r="AA1169" s="31">
        <v>0</v>
      </c>
      <c r="AB1169" s="31">
        <v>0</v>
      </c>
      <c r="AC1169" s="31">
        <f>ROUND(N1169*1.5%,2)</f>
        <v>33570.21</v>
      </c>
      <c r="AD1169" s="31">
        <v>120000</v>
      </c>
      <c r="AE1169" s="31">
        <v>0</v>
      </c>
      <c r="AF1169" s="34">
        <v>2022</v>
      </c>
      <c r="AG1169" s="34">
        <v>2022</v>
      </c>
      <c r="AH1169" s="35">
        <v>2022</v>
      </c>
      <c r="AT1169" s="20" t="e">
        <f t="shared" si="253"/>
        <v>#N/A</v>
      </c>
      <c r="BZ1169" s="71"/>
    </row>
    <row r="1170" spans="1:78" ht="61.5" x14ac:dyDescent="0.85">
      <c r="A1170" s="20">
        <v>1</v>
      </c>
      <c r="B1170" s="66">
        <f>SUBTOTAL(103,$A$948:A1170)</f>
        <v>183</v>
      </c>
      <c r="C1170" s="24" t="s">
        <v>72</v>
      </c>
      <c r="D1170" s="31">
        <f>E1170+F1170+G1170+H1170+I1170+J1170+L1170+N1170+P1170+R1170+T1170+U1170+V1170+W1170+X1170+Y1170+Z1170+AA1170+AB1170+AC1170+AD1170+AE1170</f>
        <v>4908492</v>
      </c>
      <c r="E1170" s="31">
        <v>0</v>
      </c>
      <c r="F1170" s="31">
        <v>0</v>
      </c>
      <c r="G1170" s="31">
        <v>0</v>
      </c>
      <c r="H1170" s="31">
        <v>0</v>
      </c>
      <c r="I1170" s="31">
        <v>0</v>
      </c>
      <c r="J1170" s="31">
        <v>0</v>
      </c>
      <c r="K1170" s="33">
        <v>0</v>
      </c>
      <c r="L1170" s="31">
        <v>0</v>
      </c>
      <c r="M1170" s="31">
        <v>940</v>
      </c>
      <c r="N1170" s="31">
        <v>4688169.46</v>
      </c>
      <c r="O1170" s="31">
        <v>0</v>
      </c>
      <c r="P1170" s="31">
        <v>0</v>
      </c>
      <c r="Q1170" s="31">
        <v>0</v>
      </c>
      <c r="R1170" s="31">
        <v>0</v>
      </c>
      <c r="S1170" s="31">
        <v>0</v>
      </c>
      <c r="T1170" s="31">
        <v>0</v>
      </c>
      <c r="U1170" s="31">
        <v>0</v>
      </c>
      <c r="V1170" s="31">
        <v>0</v>
      </c>
      <c r="W1170" s="31">
        <v>0</v>
      </c>
      <c r="X1170" s="31">
        <v>0</v>
      </c>
      <c r="Y1170" s="31">
        <v>0</v>
      </c>
      <c r="Z1170" s="31">
        <v>0</v>
      </c>
      <c r="AA1170" s="31">
        <v>0</v>
      </c>
      <c r="AB1170" s="31">
        <v>0</v>
      </c>
      <c r="AC1170" s="31">
        <f>ROUND(N1170*1.5%,2)</f>
        <v>70322.539999999994</v>
      </c>
      <c r="AD1170" s="31">
        <v>150000</v>
      </c>
      <c r="AE1170" s="31">
        <v>0</v>
      </c>
      <c r="AF1170" s="34">
        <v>2022</v>
      </c>
      <c r="AG1170" s="34">
        <v>2022</v>
      </c>
      <c r="AH1170" s="35">
        <v>2022</v>
      </c>
      <c r="AT1170" s="20" t="e">
        <f t="shared" si="253"/>
        <v>#N/A</v>
      </c>
      <c r="BZ1170" s="71"/>
    </row>
    <row r="1171" spans="1:78" ht="61.5" x14ac:dyDescent="0.85">
      <c r="A1171" s="20">
        <v>1</v>
      </c>
      <c r="B1171" s="66">
        <f>SUBTOTAL(103,$A$948:A1171)</f>
        <v>184</v>
      </c>
      <c r="C1171" s="24" t="s">
        <v>73</v>
      </c>
      <c r="D1171" s="31">
        <f>E1171+F1171+G1171+H1171+I1171+J1171+L1171+N1171+P1171+R1171+T1171+U1171+V1171+W1171+X1171+Y1171+Z1171+AA1171+AB1171+AC1171+AD1171+AE1171</f>
        <v>3372238.44</v>
      </c>
      <c r="E1171" s="31">
        <v>0</v>
      </c>
      <c r="F1171" s="31">
        <v>0</v>
      </c>
      <c r="G1171" s="31">
        <v>0</v>
      </c>
      <c r="H1171" s="31">
        <v>0</v>
      </c>
      <c r="I1171" s="31">
        <v>0</v>
      </c>
      <c r="J1171" s="31">
        <v>0</v>
      </c>
      <c r="K1171" s="33">
        <v>0</v>
      </c>
      <c r="L1171" s="31">
        <v>0</v>
      </c>
      <c r="M1171" s="31">
        <v>645.79999999999995</v>
      </c>
      <c r="N1171" s="31">
        <v>3174619.15</v>
      </c>
      <c r="O1171" s="31">
        <v>0</v>
      </c>
      <c r="P1171" s="31">
        <v>0</v>
      </c>
      <c r="Q1171" s="31">
        <v>0</v>
      </c>
      <c r="R1171" s="31">
        <v>0</v>
      </c>
      <c r="S1171" s="31">
        <v>0</v>
      </c>
      <c r="T1171" s="31">
        <v>0</v>
      </c>
      <c r="U1171" s="31">
        <v>0</v>
      </c>
      <c r="V1171" s="31">
        <v>0</v>
      </c>
      <c r="W1171" s="31">
        <v>0</v>
      </c>
      <c r="X1171" s="31">
        <v>0</v>
      </c>
      <c r="Y1171" s="31">
        <v>0</v>
      </c>
      <c r="Z1171" s="31">
        <v>0</v>
      </c>
      <c r="AA1171" s="31">
        <v>0</v>
      </c>
      <c r="AB1171" s="31">
        <v>0</v>
      </c>
      <c r="AC1171" s="31">
        <f>ROUND(N1171*1.5%,2)</f>
        <v>47619.29</v>
      </c>
      <c r="AD1171" s="31">
        <v>150000</v>
      </c>
      <c r="AE1171" s="31">
        <v>0</v>
      </c>
      <c r="AF1171" s="34">
        <v>2022</v>
      </c>
      <c r="AG1171" s="34">
        <v>2022</v>
      </c>
      <c r="AH1171" s="35">
        <v>2022</v>
      </c>
      <c r="AT1171" s="20" t="e">
        <f t="shared" si="253"/>
        <v>#N/A</v>
      </c>
      <c r="BZ1171" s="71"/>
    </row>
    <row r="1172" spans="1:78" ht="61.5" x14ac:dyDescent="0.85">
      <c r="B1172" s="24" t="s">
        <v>867</v>
      </c>
      <c r="C1172" s="24"/>
      <c r="D1172" s="31">
        <f>D1173</f>
        <v>3912770.8299999996</v>
      </c>
      <c r="E1172" s="31">
        <f t="shared" ref="E1172:AE1172" si="269">E1173</f>
        <v>0</v>
      </c>
      <c r="F1172" s="31">
        <f t="shared" si="269"/>
        <v>0</v>
      </c>
      <c r="G1172" s="31">
        <f t="shared" si="269"/>
        <v>0</v>
      </c>
      <c r="H1172" s="31">
        <f t="shared" si="269"/>
        <v>0</v>
      </c>
      <c r="I1172" s="31">
        <f t="shared" si="269"/>
        <v>0</v>
      </c>
      <c r="J1172" s="31">
        <f t="shared" si="269"/>
        <v>0</v>
      </c>
      <c r="K1172" s="33">
        <f t="shared" si="269"/>
        <v>0</v>
      </c>
      <c r="L1172" s="31">
        <f t="shared" si="269"/>
        <v>0</v>
      </c>
      <c r="M1172" s="31">
        <f t="shared" si="269"/>
        <v>1320</v>
      </c>
      <c r="N1172" s="31">
        <f t="shared" si="269"/>
        <v>3736720.03</v>
      </c>
      <c r="O1172" s="31">
        <f t="shared" si="269"/>
        <v>0</v>
      </c>
      <c r="P1172" s="31">
        <f t="shared" si="269"/>
        <v>0</v>
      </c>
      <c r="Q1172" s="31">
        <f t="shared" si="269"/>
        <v>0</v>
      </c>
      <c r="R1172" s="31">
        <f t="shared" si="269"/>
        <v>0</v>
      </c>
      <c r="S1172" s="31">
        <f t="shared" si="269"/>
        <v>0</v>
      </c>
      <c r="T1172" s="31">
        <f t="shared" si="269"/>
        <v>0</v>
      </c>
      <c r="U1172" s="31">
        <f t="shared" si="269"/>
        <v>0</v>
      </c>
      <c r="V1172" s="31">
        <f t="shared" si="269"/>
        <v>0</v>
      </c>
      <c r="W1172" s="31">
        <f t="shared" si="269"/>
        <v>0</v>
      </c>
      <c r="X1172" s="31">
        <f t="shared" si="269"/>
        <v>0</v>
      </c>
      <c r="Y1172" s="31">
        <f t="shared" si="269"/>
        <v>0</v>
      </c>
      <c r="Z1172" s="31">
        <f t="shared" si="269"/>
        <v>0</v>
      </c>
      <c r="AA1172" s="31">
        <f t="shared" si="269"/>
        <v>0</v>
      </c>
      <c r="AB1172" s="31">
        <f t="shared" si="269"/>
        <v>0</v>
      </c>
      <c r="AC1172" s="31">
        <f t="shared" si="269"/>
        <v>56050.8</v>
      </c>
      <c r="AD1172" s="31">
        <f t="shared" si="269"/>
        <v>120000</v>
      </c>
      <c r="AE1172" s="31">
        <f t="shared" si="269"/>
        <v>0</v>
      </c>
      <c r="AF1172" s="168" t="s">
        <v>776</v>
      </c>
      <c r="AG1172" s="168" t="s">
        <v>776</v>
      </c>
      <c r="AH1172" s="169" t="s">
        <v>776</v>
      </c>
      <c r="AT1172" s="20" t="e">
        <f t="shared" si="253"/>
        <v>#N/A</v>
      </c>
      <c r="BZ1172" s="71">
        <v>3912770.8299999996</v>
      </c>
    </row>
    <row r="1173" spans="1:78" ht="61.5" x14ac:dyDescent="0.85">
      <c r="A1173" s="20">
        <v>1</v>
      </c>
      <c r="B1173" s="66">
        <f>SUBTOTAL(103,$A$948:A1173)</f>
        <v>185</v>
      </c>
      <c r="C1173" s="24" t="s">
        <v>1616</v>
      </c>
      <c r="D1173" s="31">
        <f>E1173+F1173+G1173+H1173+I1173+J1173+L1173+N1173+P1173+R1173+T1173+U1173+V1173+W1173+X1173+Y1173+Z1173+AA1173+AB1173+AC1173+AD1173+AE1173</f>
        <v>3912770.8299999996</v>
      </c>
      <c r="E1173" s="31">
        <v>0</v>
      </c>
      <c r="F1173" s="31">
        <v>0</v>
      </c>
      <c r="G1173" s="31">
        <v>0</v>
      </c>
      <c r="H1173" s="31">
        <v>0</v>
      </c>
      <c r="I1173" s="31">
        <v>0</v>
      </c>
      <c r="J1173" s="31">
        <v>0</v>
      </c>
      <c r="K1173" s="33">
        <v>0</v>
      </c>
      <c r="L1173" s="31">
        <v>0</v>
      </c>
      <c r="M1173" s="31">
        <v>1320</v>
      </c>
      <c r="N1173" s="31">
        <v>3736720.03</v>
      </c>
      <c r="O1173" s="31">
        <v>0</v>
      </c>
      <c r="P1173" s="31">
        <v>0</v>
      </c>
      <c r="Q1173" s="31">
        <v>0</v>
      </c>
      <c r="R1173" s="31">
        <v>0</v>
      </c>
      <c r="S1173" s="31">
        <v>0</v>
      </c>
      <c r="T1173" s="31">
        <v>0</v>
      </c>
      <c r="U1173" s="31">
        <v>0</v>
      </c>
      <c r="V1173" s="31">
        <v>0</v>
      </c>
      <c r="W1173" s="31">
        <v>0</v>
      </c>
      <c r="X1173" s="31">
        <v>0</v>
      </c>
      <c r="Y1173" s="31">
        <v>0</v>
      </c>
      <c r="Z1173" s="31">
        <v>0</v>
      </c>
      <c r="AA1173" s="31">
        <v>0</v>
      </c>
      <c r="AB1173" s="31">
        <v>0</v>
      </c>
      <c r="AC1173" s="31">
        <f>ROUND(N1173*1.5%,2)</f>
        <v>56050.8</v>
      </c>
      <c r="AD1173" s="31">
        <v>120000</v>
      </c>
      <c r="AE1173" s="31">
        <v>0</v>
      </c>
      <c r="AF1173" s="34">
        <v>2022</v>
      </c>
      <c r="AG1173" s="34">
        <v>2022</v>
      </c>
      <c r="AH1173" s="35">
        <v>2022</v>
      </c>
      <c r="BZ1173" s="71"/>
    </row>
    <row r="1174" spans="1:78" ht="61.5" x14ac:dyDescent="0.85">
      <c r="B1174" s="24" t="s">
        <v>872</v>
      </c>
      <c r="C1174" s="166"/>
      <c r="D1174" s="31">
        <f>D1175</f>
        <v>4804056</v>
      </c>
      <c r="E1174" s="31">
        <f t="shared" ref="E1174:AE1174" si="270">E1175</f>
        <v>0</v>
      </c>
      <c r="F1174" s="31">
        <f t="shared" si="270"/>
        <v>0</v>
      </c>
      <c r="G1174" s="31">
        <f t="shared" si="270"/>
        <v>0</v>
      </c>
      <c r="H1174" s="31">
        <f t="shared" si="270"/>
        <v>0</v>
      </c>
      <c r="I1174" s="31">
        <f t="shared" si="270"/>
        <v>0</v>
      </c>
      <c r="J1174" s="31">
        <f t="shared" si="270"/>
        <v>0</v>
      </c>
      <c r="K1174" s="33">
        <f t="shared" si="270"/>
        <v>0</v>
      </c>
      <c r="L1174" s="31">
        <f t="shared" si="270"/>
        <v>0</v>
      </c>
      <c r="M1174" s="31">
        <f t="shared" si="270"/>
        <v>925</v>
      </c>
      <c r="N1174" s="31">
        <f t="shared" si="270"/>
        <v>4585276.8499999996</v>
      </c>
      <c r="O1174" s="31">
        <f t="shared" si="270"/>
        <v>0</v>
      </c>
      <c r="P1174" s="31">
        <f t="shared" si="270"/>
        <v>0</v>
      </c>
      <c r="Q1174" s="31">
        <f t="shared" si="270"/>
        <v>0</v>
      </c>
      <c r="R1174" s="31">
        <f t="shared" si="270"/>
        <v>0</v>
      </c>
      <c r="S1174" s="31">
        <f t="shared" si="270"/>
        <v>0</v>
      </c>
      <c r="T1174" s="31">
        <f t="shared" si="270"/>
        <v>0</v>
      </c>
      <c r="U1174" s="31">
        <f t="shared" si="270"/>
        <v>0</v>
      </c>
      <c r="V1174" s="31">
        <f t="shared" si="270"/>
        <v>0</v>
      </c>
      <c r="W1174" s="31">
        <f t="shared" si="270"/>
        <v>0</v>
      </c>
      <c r="X1174" s="31">
        <f t="shared" si="270"/>
        <v>0</v>
      </c>
      <c r="Y1174" s="31">
        <f t="shared" si="270"/>
        <v>0</v>
      </c>
      <c r="Z1174" s="31">
        <f t="shared" si="270"/>
        <v>0</v>
      </c>
      <c r="AA1174" s="31">
        <f t="shared" si="270"/>
        <v>0</v>
      </c>
      <c r="AB1174" s="31">
        <f t="shared" si="270"/>
        <v>0</v>
      </c>
      <c r="AC1174" s="31">
        <f t="shared" si="270"/>
        <v>68779.149999999994</v>
      </c>
      <c r="AD1174" s="31">
        <f t="shared" si="270"/>
        <v>150000</v>
      </c>
      <c r="AE1174" s="31">
        <f t="shared" si="270"/>
        <v>0</v>
      </c>
      <c r="AF1174" s="168" t="s">
        <v>776</v>
      </c>
      <c r="AG1174" s="168" t="s">
        <v>776</v>
      </c>
      <c r="AH1174" s="169" t="s">
        <v>776</v>
      </c>
      <c r="AT1174" s="20" t="e">
        <f t="shared" ref="AT1174:AT1191" si="271">VLOOKUP(C1174,AW:AX,2,FALSE)</f>
        <v>#N/A</v>
      </c>
      <c r="BZ1174" s="71">
        <v>4804056</v>
      </c>
    </row>
    <row r="1175" spans="1:78" ht="61.5" x14ac:dyDescent="0.85">
      <c r="A1175" s="20">
        <v>1</v>
      </c>
      <c r="B1175" s="66">
        <f>SUBTOTAL(103,$A$948:A1175)</f>
        <v>186</v>
      </c>
      <c r="C1175" s="24" t="s">
        <v>231</v>
      </c>
      <c r="D1175" s="31">
        <f>E1175+F1175+G1175+H1175+I1175+J1175+L1175+N1175+P1175+R1175+T1175+U1175+V1175+W1175+X1175+Y1175+Z1175+AA1175+AB1175+AC1175+AD1175+AE1175</f>
        <v>4804056</v>
      </c>
      <c r="E1175" s="31">
        <v>0</v>
      </c>
      <c r="F1175" s="31">
        <v>0</v>
      </c>
      <c r="G1175" s="31">
        <v>0</v>
      </c>
      <c r="H1175" s="31">
        <v>0</v>
      </c>
      <c r="I1175" s="31">
        <v>0</v>
      </c>
      <c r="J1175" s="31">
        <v>0</v>
      </c>
      <c r="K1175" s="33">
        <v>0</v>
      </c>
      <c r="L1175" s="31">
        <v>0</v>
      </c>
      <c r="M1175" s="31">
        <v>925</v>
      </c>
      <c r="N1175" s="31">
        <v>4585276.8499999996</v>
      </c>
      <c r="O1175" s="31">
        <v>0</v>
      </c>
      <c r="P1175" s="31">
        <v>0</v>
      </c>
      <c r="Q1175" s="31">
        <v>0</v>
      </c>
      <c r="R1175" s="31">
        <v>0</v>
      </c>
      <c r="S1175" s="31">
        <v>0</v>
      </c>
      <c r="T1175" s="31">
        <v>0</v>
      </c>
      <c r="U1175" s="31">
        <v>0</v>
      </c>
      <c r="V1175" s="31">
        <v>0</v>
      </c>
      <c r="W1175" s="31">
        <v>0</v>
      </c>
      <c r="X1175" s="31">
        <v>0</v>
      </c>
      <c r="Y1175" s="31">
        <v>0</v>
      </c>
      <c r="Z1175" s="31">
        <v>0</v>
      </c>
      <c r="AA1175" s="31">
        <v>0</v>
      </c>
      <c r="AB1175" s="31">
        <v>0</v>
      </c>
      <c r="AC1175" s="31">
        <f>ROUND(N1175*1.5%,2)</f>
        <v>68779.149999999994</v>
      </c>
      <c r="AD1175" s="31">
        <v>150000</v>
      </c>
      <c r="AE1175" s="31">
        <v>0</v>
      </c>
      <c r="AF1175" s="34">
        <v>2022</v>
      </c>
      <c r="AG1175" s="34">
        <v>2022</v>
      </c>
      <c r="AH1175" s="35">
        <v>2022</v>
      </c>
      <c r="AT1175" s="20" t="e">
        <f t="shared" si="271"/>
        <v>#N/A</v>
      </c>
      <c r="BZ1175" s="71"/>
    </row>
    <row r="1176" spans="1:78" ht="61.5" x14ac:dyDescent="0.85">
      <c r="B1176" s="24" t="s">
        <v>908</v>
      </c>
      <c r="C1176" s="166"/>
      <c r="D1176" s="31">
        <f>D1177</f>
        <v>7284801.9000000004</v>
      </c>
      <c r="E1176" s="31">
        <f t="shared" ref="E1176:AE1176" si="272">E1177</f>
        <v>0</v>
      </c>
      <c r="F1176" s="31">
        <f t="shared" si="272"/>
        <v>0</v>
      </c>
      <c r="G1176" s="31">
        <f t="shared" si="272"/>
        <v>0</v>
      </c>
      <c r="H1176" s="31">
        <f t="shared" si="272"/>
        <v>0</v>
      </c>
      <c r="I1176" s="31">
        <f t="shared" si="272"/>
        <v>0</v>
      </c>
      <c r="J1176" s="31">
        <f t="shared" si="272"/>
        <v>0</v>
      </c>
      <c r="K1176" s="33">
        <f t="shared" si="272"/>
        <v>0</v>
      </c>
      <c r="L1176" s="31">
        <f t="shared" si="272"/>
        <v>0</v>
      </c>
      <c r="M1176" s="31">
        <f t="shared" si="272"/>
        <v>1501.50709241</v>
      </c>
      <c r="N1176" s="31">
        <f t="shared" si="272"/>
        <v>6999804.8300000001</v>
      </c>
      <c r="O1176" s="31">
        <f t="shared" si="272"/>
        <v>0</v>
      </c>
      <c r="P1176" s="31">
        <f t="shared" si="272"/>
        <v>0</v>
      </c>
      <c r="Q1176" s="31">
        <f t="shared" si="272"/>
        <v>0</v>
      </c>
      <c r="R1176" s="31">
        <f t="shared" si="272"/>
        <v>0</v>
      </c>
      <c r="S1176" s="31">
        <f t="shared" si="272"/>
        <v>0</v>
      </c>
      <c r="T1176" s="31">
        <f t="shared" si="272"/>
        <v>0</v>
      </c>
      <c r="U1176" s="31">
        <f t="shared" si="272"/>
        <v>0</v>
      </c>
      <c r="V1176" s="31">
        <f t="shared" si="272"/>
        <v>0</v>
      </c>
      <c r="W1176" s="31">
        <f t="shared" si="272"/>
        <v>0</v>
      </c>
      <c r="X1176" s="31">
        <f t="shared" si="272"/>
        <v>0</v>
      </c>
      <c r="Y1176" s="31">
        <f t="shared" si="272"/>
        <v>0</v>
      </c>
      <c r="Z1176" s="31">
        <f t="shared" si="272"/>
        <v>0</v>
      </c>
      <c r="AA1176" s="31">
        <f t="shared" si="272"/>
        <v>0</v>
      </c>
      <c r="AB1176" s="31">
        <f t="shared" si="272"/>
        <v>0</v>
      </c>
      <c r="AC1176" s="31">
        <f t="shared" si="272"/>
        <v>104997.07</v>
      </c>
      <c r="AD1176" s="31">
        <f t="shared" si="272"/>
        <v>180000</v>
      </c>
      <c r="AE1176" s="31">
        <f t="shared" si="272"/>
        <v>0</v>
      </c>
      <c r="AF1176" s="168" t="s">
        <v>776</v>
      </c>
      <c r="AG1176" s="168" t="s">
        <v>776</v>
      </c>
      <c r="AH1176" s="169" t="s">
        <v>776</v>
      </c>
      <c r="AT1176" s="20" t="e">
        <f t="shared" si="271"/>
        <v>#N/A</v>
      </c>
      <c r="BZ1176" s="71">
        <v>7284801.9000000004</v>
      </c>
    </row>
    <row r="1177" spans="1:78" ht="61.5" x14ac:dyDescent="0.85">
      <c r="A1177" s="20">
        <v>1</v>
      </c>
      <c r="B1177" s="66">
        <f>SUBTOTAL(103,$A$948:A1177)</f>
        <v>187</v>
      </c>
      <c r="C1177" s="24" t="s">
        <v>162</v>
      </c>
      <c r="D1177" s="31">
        <f>E1177+F1177+G1177+H1177+I1177+J1177+L1177+N1177+P1177+R1177+T1177+U1177+V1177+W1177+X1177+Y1177+Z1177+AA1177+AB1177+AC1177+AD1177+AE1177</f>
        <v>7284801.9000000004</v>
      </c>
      <c r="E1177" s="31">
        <v>0</v>
      </c>
      <c r="F1177" s="31">
        <v>0</v>
      </c>
      <c r="G1177" s="31">
        <v>0</v>
      </c>
      <c r="H1177" s="31">
        <v>0</v>
      </c>
      <c r="I1177" s="31">
        <v>0</v>
      </c>
      <c r="J1177" s="31">
        <v>0</v>
      </c>
      <c r="K1177" s="33">
        <v>0</v>
      </c>
      <c r="L1177" s="31">
        <v>0</v>
      </c>
      <c r="M1177" s="31">
        <v>1501.50709241</v>
      </c>
      <c r="N1177" s="31">
        <v>6999804.8300000001</v>
      </c>
      <c r="O1177" s="31">
        <v>0</v>
      </c>
      <c r="P1177" s="31">
        <v>0</v>
      </c>
      <c r="Q1177" s="31">
        <v>0</v>
      </c>
      <c r="R1177" s="31">
        <v>0</v>
      </c>
      <c r="S1177" s="31">
        <v>0</v>
      </c>
      <c r="T1177" s="31">
        <v>0</v>
      </c>
      <c r="U1177" s="31">
        <v>0</v>
      </c>
      <c r="V1177" s="31">
        <v>0</v>
      </c>
      <c r="W1177" s="31">
        <v>0</v>
      </c>
      <c r="X1177" s="31">
        <v>0</v>
      </c>
      <c r="Y1177" s="31">
        <v>0</v>
      </c>
      <c r="Z1177" s="31">
        <v>0</v>
      </c>
      <c r="AA1177" s="31">
        <v>0</v>
      </c>
      <c r="AB1177" s="31">
        <v>0</v>
      </c>
      <c r="AC1177" s="31">
        <f>ROUND(N1177*1.5%,2)</f>
        <v>104997.07</v>
      </c>
      <c r="AD1177" s="31">
        <v>180000</v>
      </c>
      <c r="AE1177" s="31">
        <v>0</v>
      </c>
      <c r="AF1177" s="34">
        <v>2022</v>
      </c>
      <c r="AG1177" s="34">
        <v>2022</v>
      </c>
      <c r="AH1177" s="35">
        <v>2022</v>
      </c>
      <c r="AT1177" s="20" t="e">
        <f t="shared" si="271"/>
        <v>#N/A</v>
      </c>
      <c r="BZ1177" s="71"/>
    </row>
    <row r="1178" spans="1:78" ht="61.5" x14ac:dyDescent="0.85">
      <c r="B1178" s="24" t="s">
        <v>903</v>
      </c>
      <c r="C1178" s="24"/>
      <c r="D1178" s="31">
        <f>D1179+D1180</f>
        <v>4011881.02</v>
      </c>
      <c r="E1178" s="31">
        <f t="shared" ref="E1178:AE1178" si="273">E1179+E1180</f>
        <v>0</v>
      </c>
      <c r="F1178" s="31">
        <f t="shared" si="273"/>
        <v>0</v>
      </c>
      <c r="G1178" s="31">
        <f t="shared" si="273"/>
        <v>0</v>
      </c>
      <c r="H1178" s="31">
        <f t="shared" si="273"/>
        <v>0</v>
      </c>
      <c r="I1178" s="31">
        <f t="shared" si="273"/>
        <v>0</v>
      </c>
      <c r="J1178" s="31">
        <f t="shared" si="273"/>
        <v>0</v>
      </c>
      <c r="K1178" s="33">
        <f t="shared" si="273"/>
        <v>0</v>
      </c>
      <c r="L1178" s="31">
        <f t="shared" si="273"/>
        <v>0</v>
      </c>
      <c r="M1178" s="31">
        <f t="shared" si="273"/>
        <v>771.1</v>
      </c>
      <c r="N1178" s="31">
        <f t="shared" si="273"/>
        <v>3479820.61</v>
      </c>
      <c r="O1178" s="31">
        <f t="shared" si="273"/>
        <v>0</v>
      </c>
      <c r="P1178" s="31">
        <f t="shared" si="273"/>
        <v>0</v>
      </c>
      <c r="Q1178" s="31">
        <f t="shared" si="273"/>
        <v>98</v>
      </c>
      <c r="R1178" s="31">
        <f t="shared" si="273"/>
        <v>206761.67</v>
      </c>
      <c r="S1178" s="31">
        <f t="shared" si="273"/>
        <v>0</v>
      </c>
      <c r="T1178" s="31">
        <f t="shared" si="273"/>
        <v>0</v>
      </c>
      <c r="U1178" s="31">
        <f t="shared" si="273"/>
        <v>0</v>
      </c>
      <c r="V1178" s="31">
        <f t="shared" si="273"/>
        <v>0</v>
      </c>
      <c r="W1178" s="31">
        <f t="shared" si="273"/>
        <v>0</v>
      </c>
      <c r="X1178" s="31">
        <f t="shared" si="273"/>
        <v>0</v>
      </c>
      <c r="Y1178" s="31">
        <f t="shared" si="273"/>
        <v>0</v>
      </c>
      <c r="Z1178" s="31">
        <f t="shared" si="273"/>
        <v>0</v>
      </c>
      <c r="AA1178" s="31">
        <f t="shared" si="273"/>
        <v>0</v>
      </c>
      <c r="AB1178" s="31">
        <f t="shared" si="273"/>
        <v>0</v>
      </c>
      <c r="AC1178" s="31">
        <f t="shared" si="273"/>
        <v>55298.74</v>
      </c>
      <c r="AD1178" s="31">
        <f t="shared" si="273"/>
        <v>270000</v>
      </c>
      <c r="AE1178" s="31">
        <f t="shared" si="273"/>
        <v>0</v>
      </c>
      <c r="AF1178" s="168" t="s">
        <v>776</v>
      </c>
      <c r="AG1178" s="168" t="s">
        <v>776</v>
      </c>
      <c r="AH1178" s="169" t="s">
        <v>776</v>
      </c>
      <c r="AT1178" s="20" t="e">
        <f t="shared" si="271"/>
        <v>#N/A</v>
      </c>
      <c r="BZ1178" s="71">
        <v>4011881.02</v>
      </c>
    </row>
    <row r="1179" spans="1:78" ht="61.5" x14ac:dyDescent="0.85">
      <c r="A1179" s="20">
        <v>1</v>
      </c>
      <c r="B1179" s="66">
        <f>SUBTOTAL(103,$A$948:A1179)</f>
        <v>188</v>
      </c>
      <c r="C1179" s="24" t="s">
        <v>168</v>
      </c>
      <c r="D1179" s="31">
        <f>E1179+F1179+G1179+H1179+I1179+J1179+L1179+N1179+P1179+R1179+T1179+U1179+V1179+W1179+X1179+Y1179+Z1179+AA1179+AB1179+AC1179+AD1179+AE1179</f>
        <v>329863.09999999998</v>
      </c>
      <c r="E1179" s="31">
        <v>0</v>
      </c>
      <c r="F1179" s="31">
        <v>0</v>
      </c>
      <c r="G1179" s="31">
        <v>0</v>
      </c>
      <c r="H1179" s="31">
        <v>0</v>
      </c>
      <c r="I1179" s="31">
        <v>0</v>
      </c>
      <c r="J1179" s="31">
        <v>0</v>
      </c>
      <c r="K1179" s="33">
        <v>0</v>
      </c>
      <c r="L1179" s="31">
        <v>0</v>
      </c>
      <c r="M1179" s="31">
        <v>0</v>
      </c>
      <c r="N1179" s="31">
        <v>0</v>
      </c>
      <c r="O1179" s="31">
        <v>0</v>
      </c>
      <c r="P1179" s="31">
        <v>0</v>
      </c>
      <c r="Q1179" s="31">
        <v>98</v>
      </c>
      <c r="R1179" s="31">
        <v>206761.67</v>
      </c>
      <c r="S1179" s="31">
        <v>0</v>
      </c>
      <c r="T1179" s="31">
        <v>0</v>
      </c>
      <c r="U1179" s="31">
        <v>0</v>
      </c>
      <c r="V1179" s="31">
        <v>0</v>
      </c>
      <c r="W1179" s="31">
        <v>0</v>
      </c>
      <c r="X1179" s="31">
        <v>0</v>
      </c>
      <c r="Y1179" s="31">
        <v>0</v>
      </c>
      <c r="Z1179" s="31">
        <v>0</v>
      </c>
      <c r="AA1179" s="31">
        <v>0</v>
      </c>
      <c r="AB1179" s="31">
        <v>0</v>
      </c>
      <c r="AC1179" s="31">
        <f>ROUND(R1179*1.5%,2)</f>
        <v>3101.43</v>
      </c>
      <c r="AD1179" s="31">
        <v>120000</v>
      </c>
      <c r="AE1179" s="31">
        <v>0</v>
      </c>
      <c r="AF1179" s="34">
        <v>2022</v>
      </c>
      <c r="AG1179" s="34">
        <v>2022</v>
      </c>
      <c r="AH1179" s="35">
        <v>2022</v>
      </c>
      <c r="AT1179" s="20" t="e">
        <f t="shared" si="271"/>
        <v>#N/A</v>
      </c>
      <c r="BZ1179" s="71"/>
    </row>
    <row r="1180" spans="1:78" ht="61.5" x14ac:dyDescent="0.85">
      <c r="A1180" s="20">
        <v>1</v>
      </c>
      <c r="B1180" s="66">
        <f>SUBTOTAL(103,$A$948:A1180)</f>
        <v>189</v>
      </c>
      <c r="C1180" s="24" t="s">
        <v>169</v>
      </c>
      <c r="D1180" s="31">
        <f>E1180+F1180+G1180+H1180+I1180+J1180+L1180+N1180+P1180+R1180+T1180+U1180+V1180+W1180+X1180+Y1180+Z1180+AA1180+AB1180+AC1180+AD1180+AE1180</f>
        <v>3682017.92</v>
      </c>
      <c r="E1180" s="31">
        <v>0</v>
      </c>
      <c r="F1180" s="31">
        <v>0</v>
      </c>
      <c r="G1180" s="31">
        <v>0</v>
      </c>
      <c r="H1180" s="31">
        <v>0</v>
      </c>
      <c r="I1180" s="31">
        <v>0</v>
      </c>
      <c r="J1180" s="31">
        <v>0</v>
      </c>
      <c r="K1180" s="33">
        <v>0</v>
      </c>
      <c r="L1180" s="31">
        <v>0</v>
      </c>
      <c r="M1180" s="31">
        <v>771.1</v>
      </c>
      <c r="N1180" s="31">
        <v>3479820.61</v>
      </c>
      <c r="O1180" s="31">
        <v>0</v>
      </c>
      <c r="P1180" s="31">
        <v>0</v>
      </c>
      <c r="Q1180" s="31">
        <v>0</v>
      </c>
      <c r="R1180" s="31">
        <v>0</v>
      </c>
      <c r="S1180" s="31">
        <v>0</v>
      </c>
      <c r="T1180" s="31">
        <v>0</v>
      </c>
      <c r="U1180" s="31">
        <v>0</v>
      </c>
      <c r="V1180" s="31">
        <v>0</v>
      </c>
      <c r="W1180" s="31">
        <v>0</v>
      </c>
      <c r="X1180" s="31">
        <v>0</v>
      </c>
      <c r="Y1180" s="31">
        <v>0</v>
      </c>
      <c r="Z1180" s="31">
        <v>0</v>
      </c>
      <c r="AA1180" s="31">
        <v>0</v>
      </c>
      <c r="AB1180" s="31">
        <v>0</v>
      </c>
      <c r="AC1180" s="31">
        <f>ROUND(N1180*1.5%,2)</f>
        <v>52197.31</v>
      </c>
      <c r="AD1180" s="31">
        <v>150000</v>
      </c>
      <c r="AE1180" s="31">
        <v>0</v>
      </c>
      <c r="AF1180" s="34">
        <v>2022</v>
      </c>
      <c r="AG1180" s="34">
        <v>2022</v>
      </c>
      <c r="AH1180" s="35">
        <v>2022</v>
      </c>
      <c r="AT1180" s="20" t="e">
        <f t="shared" si="271"/>
        <v>#N/A</v>
      </c>
      <c r="BZ1180" s="71"/>
    </row>
    <row r="1181" spans="1:78" ht="61.5" x14ac:dyDescent="0.85">
      <c r="B1181" s="24" t="s">
        <v>876</v>
      </c>
      <c r="C1181" s="24"/>
      <c r="D1181" s="31">
        <f>D1182+D1183</f>
        <v>6026117.5699999994</v>
      </c>
      <c r="E1181" s="31">
        <f t="shared" ref="E1181:AE1181" si="274">E1182+E1183</f>
        <v>0</v>
      </c>
      <c r="F1181" s="31">
        <f t="shared" si="274"/>
        <v>0</v>
      </c>
      <c r="G1181" s="31">
        <f t="shared" si="274"/>
        <v>0</v>
      </c>
      <c r="H1181" s="31">
        <f t="shared" si="274"/>
        <v>0</v>
      </c>
      <c r="I1181" s="31">
        <f t="shared" si="274"/>
        <v>0</v>
      </c>
      <c r="J1181" s="31">
        <f t="shared" si="274"/>
        <v>0</v>
      </c>
      <c r="K1181" s="33">
        <f t="shared" si="274"/>
        <v>0</v>
      </c>
      <c r="L1181" s="31">
        <f t="shared" si="274"/>
        <v>0</v>
      </c>
      <c r="M1181" s="31">
        <f t="shared" si="274"/>
        <v>1191.9585999999999</v>
      </c>
      <c r="N1181" s="31">
        <f t="shared" si="274"/>
        <v>5671051.7999999998</v>
      </c>
      <c r="O1181" s="31">
        <f t="shared" si="274"/>
        <v>0</v>
      </c>
      <c r="P1181" s="31">
        <f t="shared" si="274"/>
        <v>0</v>
      </c>
      <c r="Q1181" s="31">
        <f t="shared" si="274"/>
        <v>0</v>
      </c>
      <c r="R1181" s="31">
        <f t="shared" si="274"/>
        <v>0</v>
      </c>
      <c r="S1181" s="31">
        <f t="shared" si="274"/>
        <v>0</v>
      </c>
      <c r="T1181" s="31">
        <f t="shared" si="274"/>
        <v>0</v>
      </c>
      <c r="U1181" s="31">
        <f t="shared" si="274"/>
        <v>0</v>
      </c>
      <c r="V1181" s="31">
        <f t="shared" si="274"/>
        <v>0</v>
      </c>
      <c r="W1181" s="31">
        <f t="shared" si="274"/>
        <v>0</v>
      </c>
      <c r="X1181" s="31">
        <f t="shared" si="274"/>
        <v>0</v>
      </c>
      <c r="Y1181" s="31">
        <f t="shared" si="274"/>
        <v>0</v>
      </c>
      <c r="Z1181" s="31">
        <f t="shared" si="274"/>
        <v>0</v>
      </c>
      <c r="AA1181" s="31">
        <f t="shared" si="274"/>
        <v>0</v>
      </c>
      <c r="AB1181" s="31">
        <f t="shared" si="274"/>
        <v>0</v>
      </c>
      <c r="AC1181" s="31">
        <f t="shared" si="274"/>
        <v>85065.77</v>
      </c>
      <c r="AD1181" s="31">
        <f t="shared" si="274"/>
        <v>270000</v>
      </c>
      <c r="AE1181" s="31">
        <f t="shared" si="274"/>
        <v>0</v>
      </c>
      <c r="AF1181" s="168" t="s">
        <v>776</v>
      </c>
      <c r="AG1181" s="168" t="s">
        <v>776</v>
      </c>
      <c r="AH1181" s="169" t="s">
        <v>776</v>
      </c>
      <c r="AT1181" s="20" t="e">
        <f t="shared" si="271"/>
        <v>#N/A</v>
      </c>
      <c r="BZ1181" s="71">
        <v>6026117.5699999994</v>
      </c>
    </row>
    <row r="1182" spans="1:78" ht="61.5" x14ac:dyDescent="0.85">
      <c r="A1182" s="20">
        <v>1</v>
      </c>
      <c r="B1182" s="66">
        <f>SUBTOTAL(103,$A$948:A1182)</f>
        <v>190</v>
      </c>
      <c r="C1182" s="24" t="s">
        <v>167</v>
      </c>
      <c r="D1182" s="31">
        <f>E1182+F1182+G1182+H1182+I1182+J1182+L1182+N1182+P1182+R1182+T1182+U1182+V1182+W1182+X1182+Y1182+Z1182+AA1182+AB1182+AC1182+AD1182+AE1182</f>
        <v>4388776.2699999996</v>
      </c>
      <c r="E1182" s="31">
        <v>0</v>
      </c>
      <c r="F1182" s="31">
        <v>0</v>
      </c>
      <c r="G1182" s="31">
        <v>0</v>
      </c>
      <c r="H1182" s="31">
        <v>0</v>
      </c>
      <c r="I1182" s="31">
        <v>0</v>
      </c>
      <c r="J1182" s="31">
        <v>0</v>
      </c>
      <c r="K1182" s="33">
        <v>0</v>
      </c>
      <c r="L1182" s="31">
        <v>0</v>
      </c>
      <c r="M1182" s="31">
        <v>878.4</v>
      </c>
      <c r="N1182" s="31">
        <v>4176134.26</v>
      </c>
      <c r="O1182" s="31">
        <v>0</v>
      </c>
      <c r="P1182" s="31">
        <v>0</v>
      </c>
      <c r="Q1182" s="31">
        <v>0</v>
      </c>
      <c r="R1182" s="31">
        <v>0</v>
      </c>
      <c r="S1182" s="31">
        <v>0</v>
      </c>
      <c r="T1182" s="31">
        <v>0</v>
      </c>
      <c r="U1182" s="31">
        <v>0</v>
      </c>
      <c r="V1182" s="31">
        <v>0</v>
      </c>
      <c r="W1182" s="31">
        <v>0</v>
      </c>
      <c r="X1182" s="31">
        <v>0</v>
      </c>
      <c r="Y1182" s="31">
        <v>0</v>
      </c>
      <c r="Z1182" s="31">
        <v>0</v>
      </c>
      <c r="AA1182" s="31">
        <v>0</v>
      </c>
      <c r="AB1182" s="31">
        <v>0</v>
      </c>
      <c r="AC1182" s="31">
        <f>ROUND(N1182*1.5%,2)</f>
        <v>62642.01</v>
      </c>
      <c r="AD1182" s="31">
        <v>150000</v>
      </c>
      <c r="AE1182" s="31">
        <v>0</v>
      </c>
      <c r="AF1182" s="34">
        <v>2022</v>
      </c>
      <c r="AG1182" s="34">
        <v>2022</v>
      </c>
      <c r="AH1182" s="35">
        <v>2022</v>
      </c>
      <c r="AT1182" s="20" t="e">
        <f t="shared" si="271"/>
        <v>#N/A</v>
      </c>
      <c r="BZ1182" s="71"/>
    </row>
    <row r="1183" spans="1:78" ht="61.5" x14ac:dyDescent="0.85">
      <c r="A1183" s="20">
        <v>1</v>
      </c>
      <c r="B1183" s="66">
        <f>SUBTOTAL(103,$A$948:A1183)</f>
        <v>191</v>
      </c>
      <c r="C1183" s="24" t="s">
        <v>166</v>
      </c>
      <c r="D1183" s="31">
        <f>E1183+F1183+G1183+H1183+I1183+J1183+L1183+N1183+P1183+R1183+T1183+U1183+V1183+W1183+X1183+Y1183+Z1183+AA1183+AB1183+AC1183+AD1183+AE1183</f>
        <v>1637341.3</v>
      </c>
      <c r="E1183" s="31">
        <v>0</v>
      </c>
      <c r="F1183" s="31">
        <v>0</v>
      </c>
      <c r="G1183" s="31">
        <v>0</v>
      </c>
      <c r="H1183" s="31">
        <v>0</v>
      </c>
      <c r="I1183" s="31">
        <v>0</v>
      </c>
      <c r="J1183" s="31">
        <v>0</v>
      </c>
      <c r="K1183" s="33">
        <v>0</v>
      </c>
      <c r="L1183" s="31">
        <v>0</v>
      </c>
      <c r="M1183" s="31">
        <v>313.55860000000001</v>
      </c>
      <c r="N1183" s="31">
        <v>1494917.54</v>
      </c>
      <c r="O1183" s="31">
        <v>0</v>
      </c>
      <c r="P1183" s="31">
        <v>0</v>
      </c>
      <c r="Q1183" s="31">
        <v>0</v>
      </c>
      <c r="R1183" s="31">
        <v>0</v>
      </c>
      <c r="S1183" s="31">
        <v>0</v>
      </c>
      <c r="T1183" s="31">
        <v>0</v>
      </c>
      <c r="U1183" s="31">
        <v>0</v>
      </c>
      <c r="V1183" s="31">
        <v>0</v>
      </c>
      <c r="W1183" s="31">
        <v>0</v>
      </c>
      <c r="X1183" s="31">
        <v>0</v>
      </c>
      <c r="Y1183" s="31">
        <v>0</v>
      </c>
      <c r="Z1183" s="31">
        <v>0</v>
      </c>
      <c r="AA1183" s="31">
        <v>0</v>
      </c>
      <c r="AB1183" s="31">
        <v>0</v>
      </c>
      <c r="AC1183" s="31">
        <f>ROUND(N1183*1.5%,2)</f>
        <v>22423.759999999998</v>
      </c>
      <c r="AD1183" s="31">
        <v>120000</v>
      </c>
      <c r="AE1183" s="31">
        <v>0</v>
      </c>
      <c r="AF1183" s="34">
        <v>2022</v>
      </c>
      <c r="AG1183" s="34">
        <v>2022</v>
      </c>
      <c r="AH1183" s="35">
        <v>2022</v>
      </c>
      <c r="AT1183" s="20" t="e">
        <f t="shared" si="271"/>
        <v>#N/A</v>
      </c>
      <c r="BZ1183" s="71"/>
    </row>
    <row r="1184" spans="1:78" ht="61.5" x14ac:dyDescent="0.85">
      <c r="B1184" s="24" t="s">
        <v>877</v>
      </c>
      <c r="C1184" s="24"/>
      <c r="D1184" s="31">
        <f>SUM(D1185:D1187)</f>
        <v>12459674.15</v>
      </c>
      <c r="E1184" s="31">
        <f t="shared" ref="E1184:AE1184" si="275">SUM(E1185:E1187)</f>
        <v>0</v>
      </c>
      <c r="F1184" s="31">
        <f t="shared" si="275"/>
        <v>0</v>
      </c>
      <c r="G1184" s="31">
        <f t="shared" si="275"/>
        <v>0</v>
      </c>
      <c r="H1184" s="31">
        <f t="shared" si="275"/>
        <v>0</v>
      </c>
      <c r="I1184" s="31">
        <f t="shared" si="275"/>
        <v>0</v>
      </c>
      <c r="J1184" s="31">
        <f t="shared" si="275"/>
        <v>0</v>
      </c>
      <c r="K1184" s="33">
        <f t="shared" si="275"/>
        <v>0</v>
      </c>
      <c r="L1184" s="31">
        <f t="shared" si="275"/>
        <v>0</v>
      </c>
      <c r="M1184" s="31">
        <f t="shared" si="275"/>
        <v>2891.3100000000004</v>
      </c>
      <c r="N1184" s="31">
        <f t="shared" si="275"/>
        <v>11802634.630000001</v>
      </c>
      <c r="O1184" s="31">
        <f t="shared" si="275"/>
        <v>0</v>
      </c>
      <c r="P1184" s="31">
        <f t="shared" si="275"/>
        <v>0</v>
      </c>
      <c r="Q1184" s="31">
        <f t="shared" si="275"/>
        <v>0</v>
      </c>
      <c r="R1184" s="31">
        <f t="shared" si="275"/>
        <v>0</v>
      </c>
      <c r="S1184" s="31">
        <f t="shared" si="275"/>
        <v>0</v>
      </c>
      <c r="T1184" s="31">
        <f t="shared" si="275"/>
        <v>0</v>
      </c>
      <c r="U1184" s="31">
        <f t="shared" si="275"/>
        <v>0</v>
      </c>
      <c r="V1184" s="31">
        <f t="shared" si="275"/>
        <v>0</v>
      </c>
      <c r="W1184" s="31">
        <f t="shared" si="275"/>
        <v>0</v>
      </c>
      <c r="X1184" s="31">
        <f t="shared" si="275"/>
        <v>0</v>
      </c>
      <c r="Y1184" s="31">
        <f t="shared" si="275"/>
        <v>0</v>
      </c>
      <c r="Z1184" s="31">
        <f t="shared" si="275"/>
        <v>0</v>
      </c>
      <c r="AA1184" s="31">
        <f t="shared" si="275"/>
        <v>0</v>
      </c>
      <c r="AB1184" s="31">
        <f t="shared" si="275"/>
        <v>0</v>
      </c>
      <c r="AC1184" s="31">
        <f t="shared" si="275"/>
        <v>177039.52000000002</v>
      </c>
      <c r="AD1184" s="31">
        <f t="shared" si="275"/>
        <v>480000</v>
      </c>
      <c r="AE1184" s="31">
        <f t="shared" si="275"/>
        <v>0</v>
      </c>
      <c r="AF1184" s="168" t="s">
        <v>776</v>
      </c>
      <c r="AG1184" s="168" t="s">
        <v>776</v>
      </c>
      <c r="AH1184" s="169" t="s">
        <v>776</v>
      </c>
      <c r="AT1184" s="20" t="e">
        <f t="shared" si="271"/>
        <v>#N/A</v>
      </c>
      <c r="BZ1184" s="71">
        <v>12459674.15</v>
      </c>
    </row>
    <row r="1185" spans="1:78" ht="61.5" x14ac:dyDescent="0.85">
      <c r="A1185" s="20">
        <v>1</v>
      </c>
      <c r="B1185" s="66">
        <f>SUBTOTAL(103,$A$948:A1185)</f>
        <v>192</v>
      </c>
      <c r="C1185" s="24" t="s">
        <v>163</v>
      </c>
      <c r="D1185" s="31">
        <f>E1185+F1185+G1185+H1185+I1185+J1185+L1185+N1185+P1185+R1185+T1185+U1185+V1185+W1185+X1185+Y1185+Z1185+AA1185+AB1185+AC1185+AD1185+AE1185</f>
        <v>5095413.53</v>
      </c>
      <c r="E1185" s="31">
        <v>0</v>
      </c>
      <c r="F1185" s="31">
        <v>0</v>
      </c>
      <c r="G1185" s="31">
        <v>0</v>
      </c>
      <c r="H1185" s="31">
        <v>0</v>
      </c>
      <c r="I1185" s="31">
        <v>0</v>
      </c>
      <c r="J1185" s="31">
        <v>0</v>
      </c>
      <c r="K1185" s="33">
        <v>0</v>
      </c>
      <c r="L1185" s="31">
        <v>0</v>
      </c>
      <c r="M1185" s="31">
        <v>1276.79</v>
      </c>
      <c r="N1185" s="31">
        <v>4842771.95</v>
      </c>
      <c r="O1185" s="31">
        <v>0</v>
      </c>
      <c r="P1185" s="31">
        <v>0</v>
      </c>
      <c r="Q1185" s="31">
        <v>0</v>
      </c>
      <c r="R1185" s="31">
        <v>0</v>
      </c>
      <c r="S1185" s="31">
        <v>0</v>
      </c>
      <c r="T1185" s="31">
        <v>0</v>
      </c>
      <c r="U1185" s="31">
        <v>0</v>
      </c>
      <c r="V1185" s="31">
        <v>0</v>
      </c>
      <c r="W1185" s="31">
        <v>0</v>
      </c>
      <c r="X1185" s="31">
        <v>0</v>
      </c>
      <c r="Y1185" s="31">
        <v>0</v>
      </c>
      <c r="Z1185" s="31">
        <v>0</v>
      </c>
      <c r="AA1185" s="31">
        <v>0</v>
      </c>
      <c r="AB1185" s="31">
        <v>0</v>
      </c>
      <c r="AC1185" s="31">
        <f>ROUND(N1185*1.5%,2)</f>
        <v>72641.58</v>
      </c>
      <c r="AD1185" s="31">
        <v>180000</v>
      </c>
      <c r="AE1185" s="31">
        <v>0</v>
      </c>
      <c r="AF1185" s="34">
        <v>2022</v>
      </c>
      <c r="AG1185" s="34">
        <v>2022</v>
      </c>
      <c r="AH1185" s="35">
        <v>2022</v>
      </c>
      <c r="AT1185" s="20" t="e">
        <f t="shared" si="271"/>
        <v>#N/A</v>
      </c>
      <c r="BZ1185" s="71"/>
    </row>
    <row r="1186" spans="1:78" ht="61.5" x14ac:dyDescent="0.85">
      <c r="A1186" s="20">
        <v>1</v>
      </c>
      <c r="B1186" s="66">
        <f>SUBTOTAL(103,$A$948:A1186)</f>
        <v>193</v>
      </c>
      <c r="C1186" s="24" t="s">
        <v>164</v>
      </c>
      <c r="D1186" s="31">
        <f>E1186+F1186+G1186+H1186+I1186+J1186+L1186+N1186+P1186+R1186+T1186+U1186+V1186+W1186+X1186+Y1186+Z1186+AA1186+AB1186+AC1186+AD1186+AE1186</f>
        <v>3457309.86</v>
      </c>
      <c r="E1186" s="31">
        <v>0</v>
      </c>
      <c r="F1186" s="31">
        <v>0</v>
      </c>
      <c r="G1186" s="31">
        <v>0</v>
      </c>
      <c r="H1186" s="31">
        <v>0</v>
      </c>
      <c r="I1186" s="31">
        <v>0</v>
      </c>
      <c r="J1186" s="31">
        <v>0</v>
      </c>
      <c r="K1186" s="33">
        <v>0</v>
      </c>
      <c r="L1186" s="31">
        <v>0</v>
      </c>
      <c r="M1186" s="31">
        <v>866.32</v>
      </c>
      <c r="N1186" s="31">
        <v>3258433.36</v>
      </c>
      <c r="O1186" s="31">
        <v>0</v>
      </c>
      <c r="P1186" s="31">
        <v>0</v>
      </c>
      <c r="Q1186" s="31">
        <v>0</v>
      </c>
      <c r="R1186" s="31">
        <v>0</v>
      </c>
      <c r="S1186" s="31">
        <v>0</v>
      </c>
      <c r="T1186" s="31">
        <v>0</v>
      </c>
      <c r="U1186" s="31">
        <v>0</v>
      </c>
      <c r="V1186" s="31">
        <v>0</v>
      </c>
      <c r="W1186" s="31">
        <v>0</v>
      </c>
      <c r="X1186" s="31">
        <v>0</v>
      </c>
      <c r="Y1186" s="31">
        <v>0</v>
      </c>
      <c r="Z1186" s="31">
        <v>0</v>
      </c>
      <c r="AA1186" s="31">
        <v>0</v>
      </c>
      <c r="AB1186" s="31">
        <v>0</v>
      </c>
      <c r="AC1186" s="31">
        <f>ROUND(N1186*1.5%,2)</f>
        <v>48876.5</v>
      </c>
      <c r="AD1186" s="31">
        <v>150000</v>
      </c>
      <c r="AE1186" s="31">
        <v>0</v>
      </c>
      <c r="AF1186" s="34">
        <v>2022</v>
      </c>
      <c r="AG1186" s="34">
        <v>2022</v>
      </c>
      <c r="AH1186" s="35">
        <v>2022</v>
      </c>
      <c r="AT1186" s="20" t="e">
        <f t="shared" si="271"/>
        <v>#N/A</v>
      </c>
      <c r="BZ1186" s="71"/>
    </row>
    <row r="1187" spans="1:78" ht="61.5" x14ac:dyDescent="0.85">
      <c r="A1187" s="20">
        <v>1</v>
      </c>
      <c r="B1187" s="66">
        <f>SUBTOTAL(103,$A$948:A1187)</f>
        <v>194</v>
      </c>
      <c r="C1187" s="24" t="s">
        <v>165</v>
      </c>
      <c r="D1187" s="31">
        <f>E1187+F1187+G1187+H1187+I1187+J1187+L1187+N1187+P1187+R1187+T1187+U1187+V1187+W1187+X1187+Y1187+Z1187+AA1187+AB1187+AC1187+AD1187+AE1187</f>
        <v>3906950.76</v>
      </c>
      <c r="E1187" s="31">
        <v>0</v>
      </c>
      <c r="F1187" s="31">
        <v>0</v>
      </c>
      <c r="G1187" s="31">
        <v>0</v>
      </c>
      <c r="H1187" s="31">
        <v>0</v>
      </c>
      <c r="I1187" s="31">
        <v>0</v>
      </c>
      <c r="J1187" s="31">
        <v>0</v>
      </c>
      <c r="K1187" s="33">
        <v>0</v>
      </c>
      <c r="L1187" s="31">
        <v>0</v>
      </c>
      <c r="M1187" s="31">
        <v>748.2</v>
      </c>
      <c r="N1187" s="31">
        <v>3701429.32</v>
      </c>
      <c r="O1187" s="31">
        <v>0</v>
      </c>
      <c r="P1187" s="31">
        <v>0</v>
      </c>
      <c r="Q1187" s="31">
        <v>0</v>
      </c>
      <c r="R1187" s="31">
        <v>0</v>
      </c>
      <c r="S1187" s="31">
        <v>0</v>
      </c>
      <c r="T1187" s="31">
        <v>0</v>
      </c>
      <c r="U1187" s="31">
        <v>0</v>
      </c>
      <c r="V1187" s="31">
        <v>0</v>
      </c>
      <c r="W1187" s="31">
        <v>0</v>
      </c>
      <c r="X1187" s="31">
        <v>0</v>
      </c>
      <c r="Y1187" s="31">
        <v>0</v>
      </c>
      <c r="Z1187" s="31">
        <v>0</v>
      </c>
      <c r="AA1187" s="31">
        <v>0</v>
      </c>
      <c r="AB1187" s="31">
        <v>0</v>
      </c>
      <c r="AC1187" s="31">
        <f>ROUND(N1187*1.5%,2)</f>
        <v>55521.440000000002</v>
      </c>
      <c r="AD1187" s="31">
        <v>150000</v>
      </c>
      <c r="AE1187" s="31">
        <v>0</v>
      </c>
      <c r="AF1187" s="34">
        <v>2022</v>
      </c>
      <c r="AG1187" s="34">
        <v>2022</v>
      </c>
      <c r="AH1187" s="35">
        <v>2022</v>
      </c>
      <c r="AT1187" s="20" t="e">
        <f t="shared" si="271"/>
        <v>#N/A</v>
      </c>
      <c r="BZ1187" s="71"/>
    </row>
    <row r="1188" spans="1:78" ht="61.5" x14ac:dyDescent="0.85">
      <c r="B1188" s="24" t="s">
        <v>878</v>
      </c>
      <c r="C1188" s="24"/>
      <c r="D1188" s="31">
        <f t="shared" ref="D1188:AE1188" si="276">SUM(D1189:D1192)</f>
        <v>11707868.220000001</v>
      </c>
      <c r="E1188" s="31">
        <f t="shared" si="276"/>
        <v>0</v>
      </c>
      <c r="F1188" s="31">
        <f t="shared" si="276"/>
        <v>0</v>
      </c>
      <c r="G1188" s="31">
        <f t="shared" si="276"/>
        <v>0</v>
      </c>
      <c r="H1188" s="31">
        <f t="shared" si="276"/>
        <v>0</v>
      </c>
      <c r="I1188" s="31">
        <f t="shared" si="276"/>
        <v>1819969.95</v>
      </c>
      <c r="J1188" s="31">
        <f t="shared" si="276"/>
        <v>0</v>
      </c>
      <c r="K1188" s="33">
        <f t="shared" si="276"/>
        <v>0</v>
      </c>
      <c r="L1188" s="31">
        <f t="shared" si="276"/>
        <v>0</v>
      </c>
      <c r="M1188" s="31">
        <f t="shared" si="276"/>
        <v>1736.79</v>
      </c>
      <c r="N1188" s="31">
        <f t="shared" si="276"/>
        <v>8639576.379999999</v>
      </c>
      <c r="O1188" s="31">
        <f t="shared" si="276"/>
        <v>146</v>
      </c>
      <c r="P1188" s="31">
        <f t="shared" si="276"/>
        <v>365939.61</v>
      </c>
      <c r="Q1188" s="31">
        <f t="shared" si="276"/>
        <v>0</v>
      </c>
      <c r="R1188" s="31">
        <f t="shared" si="276"/>
        <v>0</v>
      </c>
      <c r="S1188" s="31">
        <f t="shared" si="276"/>
        <v>0</v>
      </c>
      <c r="T1188" s="31">
        <f t="shared" si="276"/>
        <v>0</v>
      </c>
      <c r="U1188" s="31">
        <f t="shared" si="276"/>
        <v>0</v>
      </c>
      <c r="V1188" s="31">
        <f t="shared" si="276"/>
        <v>0</v>
      </c>
      <c r="W1188" s="31">
        <f t="shared" si="276"/>
        <v>0</v>
      </c>
      <c r="X1188" s="31">
        <f t="shared" si="276"/>
        <v>0</v>
      </c>
      <c r="Y1188" s="31">
        <f t="shared" si="276"/>
        <v>0</v>
      </c>
      <c r="Z1188" s="31">
        <f t="shared" si="276"/>
        <v>0</v>
      </c>
      <c r="AA1188" s="31">
        <f t="shared" si="276"/>
        <v>0</v>
      </c>
      <c r="AB1188" s="31">
        <f t="shared" si="276"/>
        <v>0</v>
      </c>
      <c r="AC1188" s="31">
        <f t="shared" si="276"/>
        <v>162382.28</v>
      </c>
      <c r="AD1188" s="31">
        <f t="shared" si="276"/>
        <v>720000</v>
      </c>
      <c r="AE1188" s="31">
        <f t="shared" si="276"/>
        <v>0</v>
      </c>
      <c r="AF1188" s="168" t="s">
        <v>776</v>
      </c>
      <c r="AG1188" s="168" t="s">
        <v>776</v>
      </c>
      <c r="AH1188" s="169" t="s">
        <v>776</v>
      </c>
      <c r="AT1188" s="20" t="e">
        <f t="shared" si="271"/>
        <v>#N/A</v>
      </c>
      <c r="BZ1188" s="71">
        <v>11707868.220000001</v>
      </c>
    </row>
    <row r="1189" spans="1:78" ht="61.5" x14ac:dyDescent="0.85">
      <c r="A1189" s="20">
        <v>1</v>
      </c>
      <c r="B1189" s="66">
        <f>SUBTOTAL(103,$A$948:A1189)</f>
        <v>195</v>
      </c>
      <c r="C1189" s="24" t="s">
        <v>158</v>
      </c>
      <c r="D1189" s="31">
        <f>E1189+F1189+G1189+H1189+I1189+J1189+L1189+N1189+P1189+R1189+T1189+U1189+V1189+W1189+X1189+Y1189+Z1189+AA1189+AB1189+AC1189+AD1189+AE1189</f>
        <v>2147269.5</v>
      </c>
      <c r="E1189" s="31">
        <v>0</v>
      </c>
      <c r="F1189" s="31">
        <v>0</v>
      </c>
      <c r="G1189" s="31">
        <v>0</v>
      </c>
      <c r="H1189" s="31">
        <v>0</v>
      </c>
      <c r="I1189" s="31">
        <v>1819969.95</v>
      </c>
      <c r="J1189" s="31">
        <v>0</v>
      </c>
      <c r="K1189" s="87">
        <v>0</v>
      </c>
      <c r="L1189" s="31">
        <v>0</v>
      </c>
      <c r="M1189" s="31">
        <v>0</v>
      </c>
      <c r="N1189" s="31">
        <v>0</v>
      </c>
      <c r="O1189" s="31">
        <v>0</v>
      </c>
      <c r="P1189" s="31">
        <v>0</v>
      </c>
      <c r="Q1189" s="31">
        <v>0</v>
      </c>
      <c r="R1189" s="31">
        <v>0</v>
      </c>
      <c r="S1189" s="31">
        <v>0</v>
      </c>
      <c r="T1189" s="31">
        <v>0</v>
      </c>
      <c r="U1189" s="31">
        <v>0</v>
      </c>
      <c r="V1189" s="31">
        <v>0</v>
      </c>
      <c r="W1189" s="31">
        <v>0</v>
      </c>
      <c r="X1189" s="31">
        <v>0</v>
      </c>
      <c r="Y1189" s="31">
        <v>0</v>
      </c>
      <c r="Z1189" s="31">
        <v>0</v>
      </c>
      <c r="AA1189" s="31">
        <v>0</v>
      </c>
      <c r="AB1189" s="31">
        <v>0</v>
      </c>
      <c r="AC1189" s="31">
        <v>27299.55</v>
      </c>
      <c r="AD1189" s="31">
        <v>300000</v>
      </c>
      <c r="AE1189" s="31">
        <v>0</v>
      </c>
      <c r="AF1189" s="34">
        <v>2022</v>
      </c>
      <c r="AG1189" s="34">
        <v>2022</v>
      </c>
      <c r="AH1189" s="35">
        <v>2022</v>
      </c>
      <c r="AT1189" s="20" t="e">
        <f t="shared" si="271"/>
        <v>#N/A</v>
      </c>
      <c r="BZ1189" s="71"/>
    </row>
    <row r="1190" spans="1:78" ht="61.5" x14ac:dyDescent="0.85">
      <c r="A1190" s="20">
        <v>1</v>
      </c>
      <c r="B1190" s="66">
        <f>SUBTOTAL(103,$A$948:A1190)</f>
        <v>196</v>
      </c>
      <c r="C1190" s="24" t="s">
        <v>159</v>
      </c>
      <c r="D1190" s="31">
        <f>E1190+F1190+G1190+H1190+I1190+J1190+L1190+N1190+P1190+R1190+T1190+U1190+V1190+W1190+X1190+Y1190+Z1190+AA1190+AB1190+AC1190+AD1190+AE1190</f>
        <v>491428.7</v>
      </c>
      <c r="E1190" s="31">
        <v>0</v>
      </c>
      <c r="F1190" s="31">
        <v>0</v>
      </c>
      <c r="G1190" s="31">
        <v>0</v>
      </c>
      <c r="H1190" s="31">
        <v>0</v>
      </c>
      <c r="I1190" s="31">
        <v>0</v>
      </c>
      <c r="J1190" s="31">
        <v>0</v>
      </c>
      <c r="K1190" s="33">
        <v>0</v>
      </c>
      <c r="L1190" s="31">
        <v>0</v>
      </c>
      <c r="M1190" s="31">
        <v>0</v>
      </c>
      <c r="N1190" s="31">
        <v>0</v>
      </c>
      <c r="O1190" s="31">
        <v>146</v>
      </c>
      <c r="P1190" s="31">
        <v>365939.61</v>
      </c>
      <c r="Q1190" s="31">
        <v>0</v>
      </c>
      <c r="R1190" s="31">
        <v>0</v>
      </c>
      <c r="S1190" s="31">
        <v>0</v>
      </c>
      <c r="T1190" s="31">
        <v>0</v>
      </c>
      <c r="U1190" s="31">
        <v>0</v>
      </c>
      <c r="V1190" s="31">
        <v>0</v>
      </c>
      <c r="W1190" s="31">
        <v>0</v>
      </c>
      <c r="X1190" s="31">
        <v>0</v>
      </c>
      <c r="Y1190" s="31">
        <v>0</v>
      </c>
      <c r="Z1190" s="31">
        <v>0</v>
      </c>
      <c r="AA1190" s="31">
        <v>0</v>
      </c>
      <c r="AB1190" s="31">
        <v>0</v>
      </c>
      <c r="AC1190" s="31">
        <f>ROUND(P1190*1.5%,2)</f>
        <v>5489.09</v>
      </c>
      <c r="AD1190" s="31">
        <v>120000</v>
      </c>
      <c r="AE1190" s="31">
        <v>0</v>
      </c>
      <c r="AF1190" s="34">
        <v>2022</v>
      </c>
      <c r="AG1190" s="34">
        <v>2022</v>
      </c>
      <c r="AH1190" s="35">
        <v>2022</v>
      </c>
      <c r="AT1190" s="20" t="e">
        <f t="shared" si="271"/>
        <v>#N/A</v>
      </c>
      <c r="BZ1190" s="71"/>
    </row>
    <row r="1191" spans="1:78" ht="61.5" x14ac:dyDescent="0.85">
      <c r="A1191" s="20">
        <v>1</v>
      </c>
      <c r="B1191" s="66">
        <f>SUBTOTAL(103,$A$948:A1191)</f>
        <v>197</v>
      </c>
      <c r="C1191" s="24" t="s">
        <v>161</v>
      </c>
      <c r="D1191" s="31">
        <f>E1191+F1191+G1191+H1191+I1191+J1191+L1191+N1191+P1191+R1191+T1191+U1191+V1191+W1191+X1191+Y1191+Z1191+AA1191+AB1191+AC1191+AD1191+AE1191</f>
        <v>3873479.02</v>
      </c>
      <c r="E1191" s="31">
        <v>0</v>
      </c>
      <c r="F1191" s="31">
        <v>0</v>
      </c>
      <c r="G1191" s="31">
        <v>0</v>
      </c>
      <c r="H1191" s="31">
        <v>0</v>
      </c>
      <c r="I1191" s="31">
        <v>0</v>
      </c>
      <c r="J1191" s="31">
        <v>0</v>
      </c>
      <c r="K1191" s="33">
        <v>0</v>
      </c>
      <c r="L1191" s="31">
        <v>0</v>
      </c>
      <c r="M1191" s="31">
        <v>741.79</v>
      </c>
      <c r="N1191" s="31">
        <f>3668452.24</f>
        <v>3668452.24</v>
      </c>
      <c r="O1191" s="31">
        <v>0</v>
      </c>
      <c r="P1191" s="31">
        <v>0</v>
      </c>
      <c r="Q1191" s="31">
        <v>0</v>
      </c>
      <c r="R1191" s="31">
        <v>0</v>
      </c>
      <c r="S1191" s="31">
        <v>0</v>
      </c>
      <c r="T1191" s="31">
        <v>0</v>
      </c>
      <c r="U1191" s="31">
        <v>0</v>
      </c>
      <c r="V1191" s="31">
        <v>0</v>
      </c>
      <c r="W1191" s="31">
        <v>0</v>
      </c>
      <c r="X1191" s="31">
        <v>0</v>
      </c>
      <c r="Y1191" s="31">
        <v>0</v>
      </c>
      <c r="Z1191" s="31">
        <v>0</v>
      </c>
      <c r="AA1191" s="31">
        <v>0</v>
      </c>
      <c r="AB1191" s="31">
        <v>0</v>
      </c>
      <c r="AC1191" s="31">
        <f>ROUND(N1191*1.5%,2)</f>
        <v>55026.78</v>
      </c>
      <c r="AD1191" s="31">
        <v>150000</v>
      </c>
      <c r="AE1191" s="31">
        <v>0</v>
      </c>
      <c r="AF1191" s="34">
        <v>2022</v>
      </c>
      <c r="AG1191" s="34">
        <v>2022</v>
      </c>
      <c r="AH1191" s="35">
        <v>2022</v>
      </c>
      <c r="AT1191" s="20" t="e">
        <f t="shared" si="271"/>
        <v>#N/A</v>
      </c>
      <c r="BZ1191" s="71"/>
    </row>
    <row r="1192" spans="1:78" ht="61.5" x14ac:dyDescent="0.85">
      <c r="A1192" s="20">
        <v>1</v>
      </c>
      <c r="B1192" s="66">
        <f>SUBTOTAL(103,$A$948:A1192)</f>
        <v>198</v>
      </c>
      <c r="C1192" s="24" t="s">
        <v>139</v>
      </c>
      <c r="D1192" s="31">
        <f>E1192+F1192+G1192+H1192+I1192+J1192+L1192+N1192+P1192+R1192+T1192+U1192+V1192+W1192+X1192+Y1192+Z1192+AA1192+AB1192+AC1192+AD1192+AE1192</f>
        <v>5195691</v>
      </c>
      <c r="E1192" s="31">
        <v>0</v>
      </c>
      <c r="F1192" s="31">
        <v>0</v>
      </c>
      <c r="G1192" s="31">
        <v>0</v>
      </c>
      <c r="H1192" s="31">
        <v>0</v>
      </c>
      <c r="I1192" s="31">
        <v>0</v>
      </c>
      <c r="J1192" s="31">
        <v>0</v>
      </c>
      <c r="K1192" s="33">
        <v>0</v>
      </c>
      <c r="L1192" s="31">
        <v>0</v>
      </c>
      <c r="M1192" s="31">
        <v>995</v>
      </c>
      <c r="N1192" s="31">
        <v>4971124.1399999997</v>
      </c>
      <c r="O1192" s="31">
        <v>0</v>
      </c>
      <c r="P1192" s="31">
        <v>0</v>
      </c>
      <c r="Q1192" s="31">
        <v>0</v>
      </c>
      <c r="R1192" s="31">
        <v>0</v>
      </c>
      <c r="S1192" s="31">
        <v>0</v>
      </c>
      <c r="T1192" s="31">
        <v>0</v>
      </c>
      <c r="U1192" s="31">
        <v>0</v>
      </c>
      <c r="V1192" s="31">
        <v>0</v>
      </c>
      <c r="W1192" s="31">
        <v>0</v>
      </c>
      <c r="X1192" s="31">
        <v>0</v>
      </c>
      <c r="Y1192" s="31">
        <v>0</v>
      </c>
      <c r="Z1192" s="31">
        <v>0</v>
      </c>
      <c r="AA1192" s="31">
        <v>0</v>
      </c>
      <c r="AB1192" s="31">
        <v>0</v>
      </c>
      <c r="AC1192" s="31">
        <f>ROUND(N1192*1.5%,2)</f>
        <v>74566.86</v>
      </c>
      <c r="AD1192" s="31">
        <v>150000</v>
      </c>
      <c r="AE1192" s="31">
        <v>0</v>
      </c>
      <c r="AF1192" s="34">
        <v>2022</v>
      </c>
      <c r="AG1192" s="34">
        <v>2022</v>
      </c>
      <c r="AH1192" s="35">
        <v>2022</v>
      </c>
      <c r="AT1192" s="20" t="e">
        <f>VLOOKUP(C1192,AW$1192:AX$1192,2,FALSE)</f>
        <v>#N/A</v>
      </c>
      <c r="BZ1192" s="71"/>
    </row>
    <row r="1193" spans="1:78" ht="61.5" x14ac:dyDescent="0.85">
      <c r="B1193" s="24" t="s">
        <v>879</v>
      </c>
      <c r="C1193" s="166"/>
      <c r="D1193" s="31">
        <f>D1194+D1195</f>
        <v>9221698.8000000007</v>
      </c>
      <c r="E1193" s="31">
        <f t="shared" ref="E1193:AE1193" si="277">E1194+E1195</f>
        <v>0</v>
      </c>
      <c r="F1193" s="31">
        <f t="shared" si="277"/>
        <v>0</v>
      </c>
      <c r="G1193" s="31">
        <f t="shared" si="277"/>
        <v>0</v>
      </c>
      <c r="H1193" s="31">
        <f t="shared" si="277"/>
        <v>0</v>
      </c>
      <c r="I1193" s="31">
        <f t="shared" si="277"/>
        <v>0</v>
      </c>
      <c r="J1193" s="31">
        <f t="shared" si="277"/>
        <v>0</v>
      </c>
      <c r="K1193" s="33">
        <f t="shared" si="277"/>
        <v>0</v>
      </c>
      <c r="L1193" s="31">
        <f t="shared" si="277"/>
        <v>0</v>
      </c>
      <c r="M1193" s="31">
        <f t="shared" si="277"/>
        <v>1766</v>
      </c>
      <c r="N1193" s="31">
        <f t="shared" si="277"/>
        <v>8789851.0299999993</v>
      </c>
      <c r="O1193" s="31">
        <f t="shared" si="277"/>
        <v>0</v>
      </c>
      <c r="P1193" s="31">
        <f t="shared" si="277"/>
        <v>0</v>
      </c>
      <c r="Q1193" s="31">
        <f t="shared" si="277"/>
        <v>0</v>
      </c>
      <c r="R1193" s="31">
        <f t="shared" si="277"/>
        <v>0</v>
      </c>
      <c r="S1193" s="31">
        <f t="shared" si="277"/>
        <v>0</v>
      </c>
      <c r="T1193" s="31">
        <f t="shared" si="277"/>
        <v>0</v>
      </c>
      <c r="U1193" s="31">
        <f t="shared" si="277"/>
        <v>0</v>
      </c>
      <c r="V1193" s="31">
        <f t="shared" si="277"/>
        <v>0</v>
      </c>
      <c r="W1193" s="31">
        <f t="shared" si="277"/>
        <v>0</v>
      </c>
      <c r="X1193" s="31">
        <f t="shared" si="277"/>
        <v>0</v>
      </c>
      <c r="Y1193" s="31">
        <f t="shared" si="277"/>
        <v>0</v>
      </c>
      <c r="Z1193" s="31">
        <f t="shared" si="277"/>
        <v>0</v>
      </c>
      <c r="AA1193" s="31">
        <f t="shared" si="277"/>
        <v>0</v>
      </c>
      <c r="AB1193" s="31">
        <f t="shared" si="277"/>
        <v>0</v>
      </c>
      <c r="AC1193" s="31">
        <f t="shared" si="277"/>
        <v>131847.76999999999</v>
      </c>
      <c r="AD1193" s="31">
        <f t="shared" si="277"/>
        <v>300000</v>
      </c>
      <c r="AE1193" s="31">
        <f t="shared" si="277"/>
        <v>0</v>
      </c>
      <c r="AF1193" s="168" t="s">
        <v>776</v>
      </c>
      <c r="AG1193" s="168" t="s">
        <v>776</v>
      </c>
      <c r="AH1193" s="169" t="s">
        <v>776</v>
      </c>
      <c r="AT1193" s="20" t="e">
        <f t="shared" ref="AT1193:AT1218" si="278">VLOOKUP(C1193,AW:AX,2,FALSE)</f>
        <v>#N/A</v>
      </c>
      <c r="BZ1193" s="71">
        <v>9221698.8000000007</v>
      </c>
    </row>
    <row r="1194" spans="1:78" ht="61.5" x14ac:dyDescent="0.85">
      <c r="A1194" s="20">
        <v>1</v>
      </c>
      <c r="B1194" s="66">
        <f>SUBTOTAL(103,$A$948:A1194)</f>
        <v>199</v>
      </c>
      <c r="C1194" s="24" t="s">
        <v>101</v>
      </c>
      <c r="D1194" s="31">
        <f>E1194+F1194+G1194+H1194+I1194+J1194+L1194+N1194+P1194+R1194+T1194+U1194+V1194+W1194+X1194+Y1194+Z1194+AA1194+AB1194+AC1194+AD1194+AE1194</f>
        <v>4177440</v>
      </c>
      <c r="E1194" s="31">
        <v>0</v>
      </c>
      <c r="F1194" s="31">
        <v>0</v>
      </c>
      <c r="G1194" s="31">
        <v>0</v>
      </c>
      <c r="H1194" s="31">
        <v>0</v>
      </c>
      <c r="I1194" s="31">
        <v>0</v>
      </c>
      <c r="J1194" s="31">
        <v>0</v>
      </c>
      <c r="K1194" s="33">
        <v>0</v>
      </c>
      <c r="L1194" s="31">
        <v>0</v>
      </c>
      <c r="M1194" s="31">
        <v>800</v>
      </c>
      <c r="N1194" s="31">
        <v>3967921.18</v>
      </c>
      <c r="O1194" s="31">
        <v>0</v>
      </c>
      <c r="P1194" s="31">
        <v>0</v>
      </c>
      <c r="Q1194" s="31">
        <v>0</v>
      </c>
      <c r="R1194" s="31">
        <v>0</v>
      </c>
      <c r="S1194" s="31">
        <v>0</v>
      </c>
      <c r="T1194" s="31">
        <v>0</v>
      </c>
      <c r="U1194" s="31">
        <v>0</v>
      </c>
      <c r="V1194" s="31">
        <v>0</v>
      </c>
      <c r="W1194" s="31">
        <v>0</v>
      </c>
      <c r="X1194" s="31">
        <v>0</v>
      </c>
      <c r="Y1194" s="31">
        <v>0</v>
      </c>
      <c r="Z1194" s="31">
        <v>0</v>
      </c>
      <c r="AA1194" s="31">
        <v>0</v>
      </c>
      <c r="AB1194" s="31">
        <v>0</v>
      </c>
      <c r="AC1194" s="31">
        <f>ROUND(N1194*1.5%,2)</f>
        <v>59518.82</v>
      </c>
      <c r="AD1194" s="31">
        <v>150000</v>
      </c>
      <c r="AE1194" s="31">
        <v>0</v>
      </c>
      <c r="AF1194" s="34">
        <v>2022</v>
      </c>
      <c r="AG1194" s="34">
        <v>2022</v>
      </c>
      <c r="AH1194" s="35">
        <v>2022</v>
      </c>
      <c r="AT1194" s="20" t="e">
        <f t="shared" si="278"/>
        <v>#N/A</v>
      </c>
      <c r="BZ1194" s="71"/>
    </row>
    <row r="1195" spans="1:78" ht="61.5" x14ac:dyDescent="0.85">
      <c r="A1195" s="20">
        <v>1</v>
      </c>
      <c r="B1195" s="66">
        <f>SUBTOTAL(103,$A$948:A1195)</f>
        <v>200</v>
      </c>
      <c r="C1195" s="24" t="s">
        <v>102</v>
      </c>
      <c r="D1195" s="31">
        <f>E1195+F1195+G1195+H1195+I1195+J1195+L1195+N1195+P1195+R1195+T1195+U1195+V1195+W1195+X1195+Y1195+Z1195+AA1195+AB1195+AC1195+AD1195+AE1195</f>
        <v>5044258.8</v>
      </c>
      <c r="E1195" s="31">
        <v>0</v>
      </c>
      <c r="F1195" s="31">
        <v>0</v>
      </c>
      <c r="G1195" s="31">
        <v>0</v>
      </c>
      <c r="H1195" s="31">
        <v>0</v>
      </c>
      <c r="I1195" s="31">
        <v>0</v>
      </c>
      <c r="J1195" s="31">
        <v>0</v>
      </c>
      <c r="K1195" s="33">
        <v>0</v>
      </c>
      <c r="L1195" s="31">
        <v>0</v>
      </c>
      <c r="M1195" s="31">
        <v>966</v>
      </c>
      <c r="N1195" s="31">
        <v>4821929.8499999996</v>
      </c>
      <c r="O1195" s="31">
        <v>0</v>
      </c>
      <c r="P1195" s="31">
        <v>0</v>
      </c>
      <c r="Q1195" s="31">
        <v>0</v>
      </c>
      <c r="R1195" s="31">
        <v>0</v>
      </c>
      <c r="S1195" s="31">
        <v>0</v>
      </c>
      <c r="T1195" s="31">
        <v>0</v>
      </c>
      <c r="U1195" s="31">
        <v>0</v>
      </c>
      <c r="V1195" s="31">
        <v>0</v>
      </c>
      <c r="W1195" s="31">
        <v>0</v>
      </c>
      <c r="X1195" s="31">
        <v>0</v>
      </c>
      <c r="Y1195" s="31">
        <v>0</v>
      </c>
      <c r="Z1195" s="31">
        <v>0</v>
      </c>
      <c r="AA1195" s="31">
        <v>0</v>
      </c>
      <c r="AB1195" s="31">
        <v>0</v>
      </c>
      <c r="AC1195" s="31">
        <f>ROUND(N1195*1.5%,2)</f>
        <v>72328.95</v>
      </c>
      <c r="AD1195" s="31">
        <v>150000</v>
      </c>
      <c r="AE1195" s="31">
        <v>0</v>
      </c>
      <c r="AF1195" s="34">
        <v>2022</v>
      </c>
      <c r="AG1195" s="34">
        <v>2022</v>
      </c>
      <c r="AH1195" s="35">
        <v>2022</v>
      </c>
      <c r="AT1195" s="20" t="e">
        <f t="shared" si="278"/>
        <v>#N/A</v>
      </c>
      <c r="BZ1195" s="71"/>
    </row>
    <row r="1196" spans="1:78" ht="61.5" x14ac:dyDescent="0.85">
      <c r="B1196" s="24" t="s">
        <v>906</v>
      </c>
      <c r="C1196" s="24"/>
      <c r="D1196" s="31">
        <f>D1197</f>
        <v>3623929.1999999997</v>
      </c>
      <c r="E1196" s="31">
        <f t="shared" ref="E1196:AE1196" si="279">E1197</f>
        <v>0</v>
      </c>
      <c r="F1196" s="31">
        <f t="shared" si="279"/>
        <v>0</v>
      </c>
      <c r="G1196" s="31">
        <f t="shared" si="279"/>
        <v>0</v>
      </c>
      <c r="H1196" s="31">
        <f t="shared" si="279"/>
        <v>0</v>
      </c>
      <c r="I1196" s="31">
        <f t="shared" si="279"/>
        <v>0</v>
      </c>
      <c r="J1196" s="31">
        <f t="shared" si="279"/>
        <v>0</v>
      </c>
      <c r="K1196" s="33">
        <f t="shared" si="279"/>
        <v>0</v>
      </c>
      <c r="L1196" s="31">
        <f t="shared" si="279"/>
        <v>0</v>
      </c>
      <c r="M1196" s="31">
        <f t="shared" si="279"/>
        <v>694</v>
      </c>
      <c r="N1196" s="31">
        <f t="shared" si="279"/>
        <v>3422590.34</v>
      </c>
      <c r="O1196" s="31">
        <f t="shared" si="279"/>
        <v>0</v>
      </c>
      <c r="P1196" s="31">
        <f t="shared" si="279"/>
        <v>0</v>
      </c>
      <c r="Q1196" s="31">
        <f t="shared" si="279"/>
        <v>0</v>
      </c>
      <c r="R1196" s="31">
        <f t="shared" si="279"/>
        <v>0</v>
      </c>
      <c r="S1196" s="31">
        <f t="shared" si="279"/>
        <v>0</v>
      </c>
      <c r="T1196" s="31">
        <f t="shared" si="279"/>
        <v>0</v>
      </c>
      <c r="U1196" s="31">
        <f t="shared" si="279"/>
        <v>0</v>
      </c>
      <c r="V1196" s="31">
        <f t="shared" si="279"/>
        <v>0</v>
      </c>
      <c r="W1196" s="31">
        <f t="shared" si="279"/>
        <v>0</v>
      </c>
      <c r="X1196" s="31">
        <f t="shared" si="279"/>
        <v>0</v>
      </c>
      <c r="Y1196" s="31">
        <f t="shared" si="279"/>
        <v>0</v>
      </c>
      <c r="Z1196" s="31">
        <f t="shared" si="279"/>
        <v>0</v>
      </c>
      <c r="AA1196" s="31">
        <f t="shared" si="279"/>
        <v>0</v>
      </c>
      <c r="AB1196" s="31">
        <f t="shared" si="279"/>
        <v>0</v>
      </c>
      <c r="AC1196" s="31">
        <f t="shared" si="279"/>
        <v>51338.86</v>
      </c>
      <c r="AD1196" s="31">
        <f t="shared" si="279"/>
        <v>150000</v>
      </c>
      <c r="AE1196" s="31">
        <f t="shared" si="279"/>
        <v>0</v>
      </c>
      <c r="AF1196" s="168" t="s">
        <v>776</v>
      </c>
      <c r="AG1196" s="168" t="s">
        <v>776</v>
      </c>
      <c r="AH1196" s="169" t="s">
        <v>776</v>
      </c>
      <c r="AT1196" s="20" t="e">
        <f t="shared" si="278"/>
        <v>#N/A</v>
      </c>
      <c r="BZ1196" s="71">
        <v>3623929.1999999997</v>
      </c>
    </row>
    <row r="1197" spans="1:78" ht="61.5" x14ac:dyDescent="0.85">
      <c r="A1197" s="20">
        <v>1</v>
      </c>
      <c r="B1197" s="66">
        <f>SUBTOTAL(103,$A$948:A1197)</f>
        <v>201</v>
      </c>
      <c r="C1197" s="24" t="s">
        <v>106</v>
      </c>
      <c r="D1197" s="31">
        <f>E1197+F1197+G1197+H1197+I1197+J1197+L1197+N1197+P1197+R1197+T1197+U1197+V1197+W1197+X1197+Y1197+Z1197+AA1197+AB1197+AC1197+AD1197+AE1197</f>
        <v>3623929.1999999997</v>
      </c>
      <c r="E1197" s="31">
        <v>0</v>
      </c>
      <c r="F1197" s="31">
        <v>0</v>
      </c>
      <c r="G1197" s="31">
        <v>0</v>
      </c>
      <c r="H1197" s="31">
        <v>0</v>
      </c>
      <c r="I1197" s="31">
        <v>0</v>
      </c>
      <c r="J1197" s="31">
        <v>0</v>
      </c>
      <c r="K1197" s="33">
        <v>0</v>
      </c>
      <c r="L1197" s="31">
        <v>0</v>
      </c>
      <c r="M1197" s="31">
        <v>694</v>
      </c>
      <c r="N1197" s="31">
        <v>3422590.34</v>
      </c>
      <c r="O1197" s="31">
        <v>0</v>
      </c>
      <c r="P1197" s="31">
        <v>0</v>
      </c>
      <c r="Q1197" s="31">
        <v>0</v>
      </c>
      <c r="R1197" s="31">
        <v>0</v>
      </c>
      <c r="S1197" s="31">
        <v>0</v>
      </c>
      <c r="T1197" s="31">
        <v>0</v>
      </c>
      <c r="U1197" s="31">
        <v>0</v>
      </c>
      <c r="V1197" s="31">
        <v>0</v>
      </c>
      <c r="W1197" s="31">
        <v>0</v>
      </c>
      <c r="X1197" s="31">
        <v>0</v>
      </c>
      <c r="Y1197" s="31">
        <v>0</v>
      </c>
      <c r="Z1197" s="31">
        <v>0</v>
      </c>
      <c r="AA1197" s="31">
        <v>0</v>
      </c>
      <c r="AB1197" s="31">
        <v>0</v>
      </c>
      <c r="AC1197" s="31">
        <f>ROUND(N1197*1.5%,2)</f>
        <v>51338.86</v>
      </c>
      <c r="AD1197" s="31">
        <v>150000</v>
      </c>
      <c r="AE1197" s="31">
        <v>0</v>
      </c>
      <c r="AF1197" s="34">
        <v>2022</v>
      </c>
      <c r="AG1197" s="34">
        <v>2022</v>
      </c>
      <c r="AH1197" s="35">
        <v>2022</v>
      </c>
      <c r="AT1197" s="20" t="e">
        <f t="shared" si="278"/>
        <v>#N/A</v>
      </c>
      <c r="BZ1197" s="71"/>
    </row>
    <row r="1198" spans="1:78" ht="61.5" x14ac:dyDescent="0.85">
      <c r="B1198" s="24" t="s">
        <v>880</v>
      </c>
      <c r="C1198" s="24"/>
      <c r="D1198" s="31">
        <f>D1199</f>
        <v>3080862</v>
      </c>
      <c r="E1198" s="31">
        <f t="shared" ref="E1198:AE1198" si="280">E1199</f>
        <v>0</v>
      </c>
      <c r="F1198" s="31">
        <f t="shared" si="280"/>
        <v>0</v>
      </c>
      <c r="G1198" s="31">
        <f t="shared" si="280"/>
        <v>0</v>
      </c>
      <c r="H1198" s="31">
        <f t="shared" si="280"/>
        <v>0</v>
      </c>
      <c r="I1198" s="31">
        <f t="shared" si="280"/>
        <v>0</v>
      </c>
      <c r="J1198" s="31">
        <f t="shared" si="280"/>
        <v>0</v>
      </c>
      <c r="K1198" s="33">
        <f t="shared" si="280"/>
        <v>0</v>
      </c>
      <c r="L1198" s="31">
        <f t="shared" si="280"/>
        <v>0</v>
      </c>
      <c r="M1198" s="31">
        <f t="shared" si="280"/>
        <v>590</v>
      </c>
      <c r="N1198" s="31">
        <f t="shared" si="280"/>
        <v>2887548.77</v>
      </c>
      <c r="O1198" s="31">
        <f t="shared" si="280"/>
        <v>0</v>
      </c>
      <c r="P1198" s="31">
        <f t="shared" si="280"/>
        <v>0</v>
      </c>
      <c r="Q1198" s="31">
        <f t="shared" si="280"/>
        <v>0</v>
      </c>
      <c r="R1198" s="31">
        <f t="shared" si="280"/>
        <v>0</v>
      </c>
      <c r="S1198" s="31">
        <f t="shared" si="280"/>
        <v>0</v>
      </c>
      <c r="T1198" s="31">
        <f t="shared" si="280"/>
        <v>0</v>
      </c>
      <c r="U1198" s="31">
        <f t="shared" si="280"/>
        <v>0</v>
      </c>
      <c r="V1198" s="31">
        <f t="shared" si="280"/>
        <v>0</v>
      </c>
      <c r="W1198" s="31">
        <f t="shared" si="280"/>
        <v>0</v>
      </c>
      <c r="X1198" s="31">
        <f t="shared" si="280"/>
        <v>0</v>
      </c>
      <c r="Y1198" s="31">
        <f t="shared" si="280"/>
        <v>0</v>
      </c>
      <c r="Z1198" s="31">
        <f t="shared" si="280"/>
        <v>0</v>
      </c>
      <c r="AA1198" s="31">
        <f t="shared" si="280"/>
        <v>0</v>
      </c>
      <c r="AB1198" s="31">
        <f t="shared" si="280"/>
        <v>0</v>
      </c>
      <c r="AC1198" s="31">
        <f t="shared" si="280"/>
        <v>43313.23</v>
      </c>
      <c r="AD1198" s="31">
        <f t="shared" si="280"/>
        <v>150000</v>
      </c>
      <c r="AE1198" s="31">
        <f t="shared" si="280"/>
        <v>0</v>
      </c>
      <c r="AF1198" s="168" t="s">
        <v>776</v>
      </c>
      <c r="AG1198" s="168" t="s">
        <v>776</v>
      </c>
      <c r="AH1198" s="169" t="s">
        <v>776</v>
      </c>
      <c r="AT1198" s="20" t="e">
        <f t="shared" si="278"/>
        <v>#N/A</v>
      </c>
      <c r="BZ1198" s="71">
        <v>3080862</v>
      </c>
    </row>
    <row r="1199" spans="1:78" ht="61.5" x14ac:dyDescent="0.85">
      <c r="A1199" s="20">
        <v>1</v>
      </c>
      <c r="B1199" s="66">
        <f>SUBTOTAL(103,$A$948:A1199)</f>
        <v>202</v>
      </c>
      <c r="C1199" s="24" t="s">
        <v>103</v>
      </c>
      <c r="D1199" s="31">
        <f>E1199+F1199+G1199+H1199+I1199+J1199+L1199+N1199+P1199+R1199+T1199+U1199+V1199+W1199+X1199+Y1199+Z1199+AA1199+AB1199+AC1199+AD1199+AE1199</f>
        <v>3080862</v>
      </c>
      <c r="E1199" s="31">
        <v>0</v>
      </c>
      <c r="F1199" s="31">
        <v>0</v>
      </c>
      <c r="G1199" s="31">
        <v>0</v>
      </c>
      <c r="H1199" s="31">
        <v>0</v>
      </c>
      <c r="I1199" s="31">
        <v>0</v>
      </c>
      <c r="J1199" s="31">
        <v>0</v>
      </c>
      <c r="K1199" s="33">
        <v>0</v>
      </c>
      <c r="L1199" s="31">
        <v>0</v>
      </c>
      <c r="M1199" s="31">
        <v>590</v>
      </c>
      <c r="N1199" s="31">
        <v>2887548.77</v>
      </c>
      <c r="O1199" s="31">
        <v>0</v>
      </c>
      <c r="P1199" s="31">
        <v>0</v>
      </c>
      <c r="Q1199" s="31">
        <v>0</v>
      </c>
      <c r="R1199" s="31">
        <v>0</v>
      </c>
      <c r="S1199" s="31">
        <v>0</v>
      </c>
      <c r="T1199" s="31">
        <v>0</v>
      </c>
      <c r="U1199" s="31">
        <v>0</v>
      </c>
      <c r="V1199" s="31">
        <v>0</v>
      </c>
      <c r="W1199" s="31">
        <v>0</v>
      </c>
      <c r="X1199" s="31">
        <v>0</v>
      </c>
      <c r="Y1199" s="31">
        <v>0</v>
      </c>
      <c r="Z1199" s="31">
        <v>0</v>
      </c>
      <c r="AA1199" s="31">
        <v>0</v>
      </c>
      <c r="AB1199" s="31">
        <v>0</v>
      </c>
      <c r="AC1199" s="31">
        <f>ROUND(N1199*1.5%,2)</f>
        <v>43313.23</v>
      </c>
      <c r="AD1199" s="31">
        <v>150000</v>
      </c>
      <c r="AE1199" s="31">
        <v>0</v>
      </c>
      <c r="AF1199" s="34">
        <v>2022</v>
      </c>
      <c r="AG1199" s="34">
        <v>2022</v>
      </c>
      <c r="AH1199" s="35">
        <v>2022</v>
      </c>
      <c r="AT1199" s="20" t="e">
        <f t="shared" si="278"/>
        <v>#N/A</v>
      </c>
      <c r="BZ1199" s="71"/>
    </row>
    <row r="1200" spans="1:78" ht="61.5" x14ac:dyDescent="0.85">
      <c r="B1200" s="24" t="s">
        <v>881</v>
      </c>
      <c r="C1200" s="24"/>
      <c r="D1200" s="31">
        <f>D1201+D1202</f>
        <v>2610892.59</v>
      </c>
      <c r="E1200" s="31">
        <f t="shared" ref="E1200:AE1200" si="281">E1201+E1202</f>
        <v>0</v>
      </c>
      <c r="F1200" s="31">
        <f t="shared" si="281"/>
        <v>0</v>
      </c>
      <c r="G1200" s="31">
        <f t="shared" si="281"/>
        <v>0</v>
      </c>
      <c r="H1200" s="31">
        <f t="shared" si="281"/>
        <v>0</v>
      </c>
      <c r="I1200" s="31">
        <f t="shared" si="281"/>
        <v>0</v>
      </c>
      <c r="J1200" s="31">
        <f t="shared" si="281"/>
        <v>0</v>
      </c>
      <c r="K1200" s="33">
        <f t="shared" si="281"/>
        <v>0</v>
      </c>
      <c r="L1200" s="31">
        <f t="shared" si="281"/>
        <v>0</v>
      </c>
      <c r="M1200" s="31">
        <f t="shared" si="281"/>
        <v>500</v>
      </c>
      <c r="N1200" s="31">
        <f t="shared" si="281"/>
        <v>2335854.77</v>
      </c>
      <c r="O1200" s="31">
        <f t="shared" si="281"/>
        <v>0</v>
      </c>
      <c r="P1200" s="31">
        <f t="shared" si="281"/>
        <v>0</v>
      </c>
      <c r="Q1200" s="31">
        <f t="shared" si="281"/>
        <v>0</v>
      </c>
      <c r="R1200" s="31">
        <f t="shared" si="281"/>
        <v>0</v>
      </c>
      <c r="S1200" s="31">
        <f t="shared" si="281"/>
        <v>0</v>
      </c>
      <c r="T1200" s="31">
        <f t="shared" si="281"/>
        <v>0</v>
      </c>
      <c r="U1200" s="31">
        <f t="shared" si="281"/>
        <v>0</v>
      </c>
      <c r="V1200" s="31">
        <f t="shared" si="281"/>
        <v>0</v>
      </c>
      <c r="W1200" s="31">
        <f t="shared" si="281"/>
        <v>0</v>
      </c>
      <c r="X1200" s="31">
        <f t="shared" si="281"/>
        <v>0</v>
      </c>
      <c r="Y1200" s="31">
        <f t="shared" si="281"/>
        <v>0</v>
      </c>
      <c r="Z1200" s="31">
        <f t="shared" si="281"/>
        <v>0</v>
      </c>
      <c r="AA1200" s="31">
        <f t="shared" si="281"/>
        <v>0</v>
      </c>
      <c r="AB1200" s="31">
        <f t="shared" si="281"/>
        <v>0</v>
      </c>
      <c r="AC1200" s="31">
        <f t="shared" si="281"/>
        <v>35037.82</v>
      </c>
      <c r="AD1200" s="31">
        <f t="shared" si="281"/>
        <v>240000</v>
      </c>
      <c r="AE1200" s="31">
        <f t="shared" si="281"/>
        <v>0</v>
      </c>
      <c r="AF1200" s="168" t="s">
        <v>776</v>
      </c>
      <c r="AG1200" s="168" t="s">
        <v>776</v>
      </c>
      <c r="AH1200" s="169" t="s">
        <v>776</v>
      </c>
      <c r="AT1200" s="20" t="e">
        <f t="shared" si="278"/>
        <v>#N/A</v>
      </c>
      <c r="BZ1200" s="71">
        <v>2610892.59</v>
      </c>
    </row>
    <row r="1201" spans="1:78" ht="61.5" x14ac:dyDescent="0.85">
      <c r="A1201" s="20">
        <v>1</v>
      </c>
      <c r="B1201" s="66">
        <f>SUBTOTAL(103,$A$948:A1201)</f>
        <v>203</v>
      </c>
      <c r="C1201" s="24" t="s">
        <v>104</v>
      </c>
      <c r="D1201" s="31">
        <f>E1201+F1201+G1201+H1201+I1201+J1201+L1201+N1201+P1201+R1201+T1201+U1201+V1201+W1201+X1201+Y1201+Z1201+AA1201+AB1201+AC1201+AD1201+AE1201</f>
        <v>1321115.3999999999</v>
      </c>
      <c r="E1201" s="31">
        <v>0</v>
      </c>
      <c r="F1201" s="31">
        <v>0</v>
      </c>
      <c r="G1201" s="31">
        <v>0</v>
      </c>
      <c r="H1201" s="31">
        <v>0</v>
      </c>
      <c r="I1201" s="31">
        <v>0</v>
      </c>
      <c r="J1201" s="31">
        <v>0</v>
      </c>
      <c r="K1201" s="33">
        <v>0</v>
      </c>
      <c r="L1201" s="31">
        <v>0</v>
      </c>
      <c r="M1201" s="31">
        <v>253</v>
      </c>
      <c r="N1201" s="31">
        <v>1183364.93</v>
      </c>
      <c r="O1201" s="31">
        <v>0</v>
      </c>
      <c r="P1201" s="31">
        <v>0</v>
      </c>
      <c r="Q1201" s="31">
        <v>0</v>
      </c>
      <c r="R1201" s="31">
        <v>0</v>
      </c>
      <c r="S1201" s="31">
        <v>0</v>
      </c>
      <c r="T1201" s="31">
        <v>0</v>
      </c>
      <c r="U1201" s="31">
        <v>0</v>
      </c>
      <c r="V1201" s="31">
        <v>0</v>
      </c>
      <c r="W1201" s="31">
        <v>0</v>
      </c>
      <c r="X1201" s="31">
        <v>0</v>
      </c>
      <c r="Y1201" s="31">
        <v>0</v>
      </c>
      <c r="Z1201" s="31">
        <v>0</v>
      </c>
      <c r="AA1201" s="31">
        <v>0</v>
      </c>
      <c r="AB1201" s="31">
        <v>0</v>
      </c>
      <c r="AC1201" s="31">
        <f>ROUND(N1201*1.5%,2)</f>
        <v>17750.47</v>
      </c>
      <c r="AD1201" s="31">
        <v>120000</v>
      </c>
      <c r="AE1201" s="31">
        <v>0</v>
      </c>
      <c r="AF1201" s="34">
        <v>2022</v>
      </c>
      <c r="AG1201" s="34">
        <v>2022</v>
      </c>
      <c r="AH1201" s="35">
        <v>2022</v>
      </c>
      <c r="AT1201" s="20" t="e">
        <f t="shared" si="278"/>
        <v>#N/A</v>
      </c>
      <c r="BZ1201" s="71"/>
    </row>
    <row r="1202" spans="1:78" ht="61.5" x14ac:dyDescent="0.85">
      <c r="A1202" s="20">
        <v>1</v>
      </c>
      <c r="B1202" s="66">
        <f>SUBTOTAL(103,$A$948:A1202)</f>
        <v>204</v>
      </c>
      <c r="C1202" s="24" t="s">
        <v>105</v>
      </c>
      <c r="D1202" s="31">
        <f>E1202+F1202+G1202+H1202+I1202+J1202+L1202+N1202+P1202+R1202+T1202+U1202+V1202+W1202+X1202+Y1202+Z1202+AA1202+AB1202+AC1202+AD1202+AE1202</f>
        <v>1289777.1900000002</v>
      </c>
      <c r="E1202" s="31">
        <v>0</v>
      </c>
      <c r="F1202" s="31">
        <v>0</v>
      </c>
      <c r="G1202" s="31">
        <v>0</v>
      </c>
      <c r="H1202" s="31">
        <v>0</v>
      </c>
      <c r="I1202" s="31">
        <v>0</v>
      </c>
      <c r="J1202" s="31">
        <v>0</v>
      </c>
      <c r="K1202" s="33">
        <v>0</v>
      </c>
      <c r="L1202" s="31">
        <v>0</v>
      </c>
      <c r="M1202" s="31">
        <v>247</v>
      </c>
      <c r="N1202" s="31">
        <v>1152489.8400000001</v>
      </c>
      <c r="O1202" s="31">
        <v>0</v>
      </c>
      <c r="P1202" s="31">
        <v>0</v>
      </c>
      <c r="Q1202" s="31">
        <v>0</v>
      </c>
      <c r="R1202" s="31">
        <v>0</v>
      </c>
      <c r="S1202" s="31">
        <v>0</v>
      </c>
      <c r="T1202" s="31">
        <v>0</v>
      </c>
      <c r="U1202" s="31">
        <v>0</v>
      </c>
      <c r="V1202" s="31">
        <v>0</v>
      </c>
      <c r="W1202" s="31">
        <v>0</v>
      </c>
      <c r="X1202" s="31">
        <v>0</v>
      </c>
      <c r="Y1202" s="31">
        <v>0</v>
      </c>
      <c r="Z1202" s="31">
        <v>0</v>
      </c>
      <c r="AA1202" s="31">
        <v>0</v>
      </c>
      <c r="AB1202" s="31">
        <v>0</v>
      </c>
      <c r="AC1202" s="31">
        <f>ROUND(N1202*1.5%,2)</f>
        <v>17287.349999999999</v>
      </c>
      <c r="AD1202" s="31">
        <v>120000</v>
      </c>
      <c r="AE1202" s="31">
        <v>0</v>
      </c>
      <c r="AF1202" s="34">
        <v>2022</v>
      </c>
      <c r="AG1202" s="34">
        <v>2022</v>
      </c>
      <c r="AH1202" s="35">
        <v>2022</v>
      </c>
      <c r="AT1202" s="20" t="e">
        <f t="shared" si="278"/>
        <v>#N/A</v>
      </c>
      <c r="BZ1202" s="71"/>
    </row>
    <row r="1203" spans="1:78" ht="61.5" x14ac:dyDescent="0.85">
      <c r="B1203" s="24" t="s">
        <v>883</v>
      </c>
      <c r="C1203" s="166"/>
      <c r="D1203" s="31">
        <f>D1204+D1205+D1206</f>
        <v>6332416.4000000004</v>
      </c>
      <c r="E1203" s="31">
        <f t="shared" ref="E1203:AE1203" si="282">E1204+E1205+E1206</f>
        <v>0</v>
      </c>
      <c r="F1203" s="31">
        <f t="shared" si="282"/>
        <v>0</v>
      </c>
      <c r="G1203" s="31">
        <f t="shared" si="282"/>
        <v>0</v>
      </c>
      <c r="H1203" s="31">
        <f t="shared" si="282"/>
        <v>0</v>
      </c>
      <c r="I1203" s="31">
        <f t="shared" si="282"/>
        <v>0</v>
      </c>
      <c r="J1203" s="31">
        <f t="shared" si="282"/>
        <v>0</v>
      </c>
      <c r="K1203" s="33">
        <f t="shared" si="282"/>
        <v>0</v>
      </c>
      <c r="L1203" s="31">
        <f t="shared" si="282"/>
        <v>0</v>
      </c>
      <c r="M1203" s="31">
        <f t="shared" si="282"/>
        <v>696</v>
      </c>
      <c r="N1203" s="31">
        <f t="shared" si="282"/>
        <v>3349359.61</v>
      </c>
      <c r="O1203" s="31">
        <f t="shared" si="282"/>
        <v>0</v>
      </c>
      <c r="P1203" s="31">
        <f t="shared" si="282"/>
        <v>0</v>
      </c>
      <c r="Q1203" s="31">
        <f t="shared" si="282"/>
        <v>910</v>
      </c>
      <c r="R1203" s="31">
        <f t="shared" si="282"/>
        <v>2485533.4</v>
      </c>
      <c r="S1203" s="31">
        <f t="shared" si="282"/>
        <v>0</v>
      </c>
      <c r="T1203" s="31">
        <f t="shared" si="282"/>
        <v>0</v>
      </c>
      <c r="U1203" s="31">
        <f t="shared" si="282"/>
        <v>0</v>
      </c>
      <c r="V1203" s="31">
        <f t="shared" si="282"/>
        <v>0</v>
      </c>
      <c r="W1203" s="31">
        <f t="shared" si="282"/>
        <v>0</v>
      </c>
      <c r="X1203" s="31">
        <f t="shared" si="282"/>
        <v>0</v>
      </c>
      <c r="Y1203" s="31">
        <f t="shared" si="282"/>
        <v>0</v>
      </c>
      <c r="Z1203" s="31">
        <f t="shared" si="282"/>
        <v>0</v>
      </c>
      <c r="AA1203" s="31">
        <f t="shared" si="282"/>
        <v>0</v>
      </c>
      <c r="AB1203" s="31">
        <f t="shared" si="282"/>
        <v>0</v>
      </c>
      <c r="AC1203" s="31">
        <f t="shared" si="282"/>
        <v>87523.39</v>
      </c>
      <c r="AD1203" s="31">
        <f t="shared" si="282"/>
        <v>410000</v>
      </c>
      <c r="AE1203" s="31">
        <f t="shared" si="282"/>
        <v>0</v>
      </c>
      <c r="AF1203" s="168" t="s">
        <v>776</v>
      </c>
      <c r="AG1203" s="168" t="s">
        <v>776</v>
      </c>
      <c r="AH1203" s="169" t="s">
        <v>776</v>
      </c>
      <c r="AT1203" s="20" t="e">
        <f t="shared" si="278"/>
        <v>#N/A</v>
      </c>
      <c r="BZ1203" s="71">
        <v>6332416.4000000004</v>
      </c>
    </row>
    <row r="1204" spans="1:78" ht="61.5" x14ac:dyDescent="0.85">
      <c r="A1204" s="20">
        <v>1</v>
      </c>
      <c r="B1204" s="66">
        <f>SUBTOTAL(103,$A$948:A1204)</f>
        <v>205</v>
      </c>
      <c r="C1204" s="24" t="s">
        <v>198</v>
      </c>
      <c r="D1204" s="31">
        <f>E1204+F1204+G1204+H1204+I1204+J1204+L1204+N1204+P1204+R1204+T1204+U1204+V1204+W1204+X1204+Y1204+Z1204+AA1204+AB1204+AC1204+AD1204+AE1204</f>
        <v>3549600</v>
      </c>
      <c r="E1204" s="31">
        <v>0</v>
      </c>
      <c r="F1204" s="31">
        <v>0</v>
      </c>
      <c r="G1204" s="31">
        <v>0</v>
      </c>
      <c r="H1204" s="31">
        <v>0</v>
      </c>
      <c r="I1204" s="31">
        <v>0</v>
      </c>
      <c r="J1204" s="31">
        <v>0</v>
      </c>
      <c r="K1204" s="33">
        <v>0</v>
      </c>
      <c r="L1204" s="31">
        <v>0</v>
      </c>
      <c r="M1204" s="31">
        <v>696</v>
      </c>
      <c r="N1204" s="31">
        <v>3349359.61</v>
      </c>
      <c r="O1204" s="31">
        <v>0</v>
      </c>
      <c r="P1204" s="31">
        <v>0</v>
      </c>
      <c r="Q1204" s="31">
        <v>0</v>
      </c>
      <c r="R1204" s="31">
        <v>0</v>
      </c>
      <c r="S1204" s="31">
        <v>0</v>
      </c>
      <c r="T1204" s="31">
        <v>0</v>
      </c>
      <c r="U1204" s="31">
        <v>0</v>
      </c>
      <c r="V1204" s="31">
        <v>0</v>
      </c>
      <c r="W1204" s="31">
        <v>0</v>
      </c>
      <c r="X1204" s="31">
        <v>0</v>
      </c>
      <c r="Y1204" s="31">
        <v>0</v>
      </c>
      <c r="Z1204" s="31">
        <v>0</v>
      </c>
      <c r="AA1204" s="31">
        <v>0</v>
      </c>
      <c r="AB1204" s="31">
        <v>0</v>
      </c>
      <c r="AC1204" s="31">
        <f>ROUND(N1204*1.5%,2)</f>
        <v>50240.39</v>
      </c>
      <c r="AD1204" s="31">
        <v>150000</v>
      </c>
      <c r="AE1204" s="31">
        <v>0</v>
      </c>
      <c r="AF1204" s="34">
        <v>2022</v>
      </c>
      <c r="AG1204" s="34">
        <v>2022</v>
      </c>
      <c r="AH1204" s="35">
        <v>2022</v>
      </c>
      <c r="AT1204" s="20" t="e">
        <f t="shared" si="278"/>
        <v>#N/A</v>
      </c>
      <c r="BZ1204" s="71"/>
    </row>
    <row r="1205" spans="1:78" ht="61.5" x14ac:dyDescent="0.85">
      <c r="A1205" s="20">
        <v>1</v>
      </c>
      <c r="B1205" s="66">
        <f>SUBTOTAL(103,$A$948:A1205)</f>
        <v>206</v>
      </c>
      <c r="C1205" s="24" t="s">
        <v>199</v>
      </c>
      <c r="D1205" s="31">
        <f>E1205+F1205+G1205+H1205+I1205+J1205+L1205+N1205+P1205+R1205+T1205+U1205+V1205+W1205+X1205+Y1205+Z1205+AA1205+AB1205+AC1205+AD1205+AE1205</f>
        <v>1391408.2</v>
      </c>
      <c r="E1205" s="31">
        <v>0</v>
      </c>
      <c r="F1205" s="31">
        <v>0</v>
      </c>
      <c r="G1205" s="31">
        <v>0</v>
      </c>
      <c r="H1205" s="31">
        <v>0</v>
      </c>
      <c r="I1205" s="31">
        <v>0</v>
      </c>
      <c r="J1205" s="31">
        <v>0</v>
      </c>
      <c r="K1205" s="33">
        <v>0</v>
      </c>
      <c r="L1205" s="31">
        <v>0</v>
      </c>
      <c r="M1205" s="31">
        <v>0</v>
      </c>
      <c r="N1205" s="31">
        <v>0</v>
      </c>
      <c r="O1205" s="31">
        <v>0</v>
      </c>
      <c r="P1205" s="31">
        <v>0</v>
      </c>
      <c r="Q1205" s="31">
        <v>455</v>
      </c>
      <c r="R1205" s="31">
        <v>1242766.7</v>
      </c>
      <c r="S1205" s="31">
        <v>0</v>
      </c>
      <c r="T1205" s="31">
        <v>0</v>
      </c>
      <c r="U1205" s="31">
        <v>0</v>
      </c>
      <c r="V1205" s="31">
        <v>0</v>
      </c>
      <c r="W1205" s="31">
        <v>0</v>
      </c>
      <c r="X1205" s="31">
        <v>0</v>
      </c>
      <c r="Y1205" s="31">
        <v>0</v>
      </c>
      <c r="Z1205" s="31">
        <v>0</v>
      </c>
      <c r="AA1205" s="31">
        <v>0</v>
      </c>
      <c r="AB1205" s="31">
        <v>0</v>
      </c>
      <c r="AC1205" s="31">
        <f>ROUND(R1205*1.5%,2)</f>
        <v>18641.5</v>
      </c>
      <c r="AD1205" s="31">
        <v>130000</v>
      </c>
      <c r="AE1205" s="31">
        <v>0</v>
      </c>
      <c r="AF1205" s="34">
        <v>2022</v>
      </c>
      <c r="AG1205" s="34">
        <v>2022</v>
      </c>
      <c r="AH1205" s="35">
        <v>2022</v>
      </c>
      <c r="AT1205" s="20" t="e">
        <f t="shared" si="278"/>
        <v>#N/A</v>
      </c>
      <c r="BZ1205" s="71"/>
    </row>
    <row r="1206" spans="1:78" ht="61.5" x14ac:dyDescent="0.85">
      <c r="A1206" s="20">
        <v>1</v>
      </c>
      <c r="B1206" s="66">
        <f>SUBTOTAL(103,$A$948:A1206)</f>
        <v>207</v>
      </c>
      <c r="C1206" s="24" t="s">
        <v>200</v>
      </c>
      <c r="D1206" s="31">
        <f>E1206+F1206+G1206+H1206+I1206+J1206+L1206+N1206+P1206+R1206+T1206+U1206+V1206+W1206+X1206+Y1206+Z1206+AA1206+AB1206+AC1206+AD1206+AE1206</f>
        <v>1391408.2</v>
      </c>
      <c r="E1206" s="31">
        <v>0</v>
      </c>
      <c r="F1206" s="31">
        <v>0</v>
      </c>
      <c r="G1206" s="31">
        <v>0</v>
      </c>
      <c r="H1206" s="31">
        <v>0</v>
      </c>
      <c r="I1206" s="31">
        <v>0</v>
      </c>
      <c r="J1206" s="31">
        <v>0</v>
      </c>
      <c r="K1206" s="33">
        <v>0</v>
      </c>
      <c r="L1206" s="31">
        <v>0</v>
      </c>
      <c r="M1206" s="31">
        <v>0</v>
      </c>
      <c r="N1206" s="31">
        <v>0</v>
      </c>
      <c r="O1206" s="31">
        <v>0</v>
      </c>
      <c r="P1206" s="31">
        <v>0</v>
      </c>
      <c r="Q1206" s="31">
        <v>455</v>
      </c>
      <c r="R1206" s="31">
        <v>1242766.7</v>
      </c>
      <c r="S1206" s="31">
        <v>0</v>
      </c>
      <c r="T1206" s="31">
        <v>0</v>
      </c>
      <c r="U1206" s="31">
        <v>0</v>
      </c>
      <c r="V1206" s="31">
        <v>0</v>
      </c>
      <c r="W1206" s="31">
        <v>0</v>
      </c>
      <c r="X1206" s="31">
        <v>0</v>
      </c>
      <c r="Y1206" s="31">
        <v>0</v>
      </c>
      <c r="Z1206" s="31">
        <v>0</v>
      </c>
      <c r="AA1206" s="31">
        <v>0</v>
      </c>
      <c r="AB1206" s="31">
        <v>0</v>
      </c>
      <c r="AC1206" s="31">
        <f>ROUND(R1206*1.5%,2)</f>
        <v>18641.5</v>
      </c>
      <c r="AD1206" s="31">
        <v>130000</v>
      </c>
      <c r="AE1206" s="31">
        <v>0</v>
      </c>
      <c r="AF1206" s="34">
        <v>2022</v>
      </c>
      <c r="AG1206" s="34">
        <v>2022</v>
      </c>
      <c r="AH1206" s="35">
        <v>2022</v>
      </c>
      <c r="AT1206" s="20" t="e">
        <f t="shared" si="278"/>
        <v>#N/A</v>
      </c>
      <c r="BZ1206" s="71"/>
    </row>
    <row r="1207" spans="1:78" ht="61.5" x14ac:dyDescent="0.85">
      <c r="B1207" s="24" t="s">
        <v>884</v>
      </c>
      <c r="C1207" s="24"/>
      <c r="D1207" s="31">
        <f>D1208</f>
        <v>4686244.08</v>
      </c>
      <c r="E1207" s="31">
        <f t="shared" ref="E1207:AE1207" si="283">E1208</f>
        <v>0</v>
      </c>
      <c r="F1207" s="31">
        <f t="shared" si="283"/>
        <v>0</v>
      </c>
      <c r="G1207" s="31">
        <f t="shared" si="283"/>
        <v>0</v>
      </c>
      <c r="H1207" s="31">
        <f t="shared" si="283"/>
        <v>0</v>
      </c>
      <c r="I1207" s="31">
        <f t="shared" si="283"/>
        <v>0</v>
      </c>
      <c r="J1207" s="31">
        <f t="shared" si="283"/>
        <v>0</v>
      </c>
      <c r="K1207" s="33">
        <f t="shared" si="283"/>
        <v>0</v>
      </c>
      <c r="L1207" s="31">
        <f t="shared" si="283"/>
        <v>0</v>
      </c>
      <c r="M1207" s="31">
        <f t="shared" si="283"/>
        <v>720</v>
      </c>
      <c r="N1207" s="31">
        <f t="shared" si="283"/>
        <v>4488910.42</v>
      </c>
      <c r="O1207" s="31">
        <f t="shared" si="283"/>
        <v>0</v>
      </c>
      <c r="P1207" s="31">
        <f t="shared" si="283"/>
        <v>0</v>
      </c>
      <c r="Q1207" s="31">
        <f t="shared" si="283"/>
        <v>0</v>
      </c>
      <c r="R1207" s="31">
        <f t="shared" si="283"/>
        <v>0</v>
      </c>
      <c r="S1207" s="31">
        <f t="shared" si="283"/>
        <v>0</v>
      </c>
      <c r="T1207" s="31">
        <f t="shared" si="283"/>
        <v>0</v>
      </c>
      <c r="U1207" s="31">
        <f t="shared" si="283"/>
        <v>0</v>
      </c>
      <c r="V1207" s="31">
        <f t="shared" si="283"/>
        <v>0</v>
      </c>
      <c r="W1207" s="31">
        <f t="shared" si="283"/>
        <v>0</v>
      </c>
      <c r="X1207" s="31">
        <f t="shared" si="283"/>
        <v>0</v>
      </c>
      <c r="Y1207" s="31">
        <f t="shared" si="283"/>
        <v>0</v>
      </c>
      <c r="Z1207" s="31">
        <f t="shared" si="283"/>
        <v>0</v>
      </c>
      <c r="AA1207" s="31">
        <f t="shared" si="283"/>
        <v>0</v>
      </c>
      <c r="AB1207" s="31">
        <f t="shared" si="283"/>
        <v>0</v>
      </c>
      <c r="AC1207" s="31">
        <f t="shared" si="283"/>
        <v>67333.66</v>
      </c>
      <c r="AD1207" s="31">
        <f t="shared" si="283"/>
        <v>130000</v>
      </c>
      <c r="AE1207" s="31">
        <f t="shared" si="283"/>
        <v>0</v>
      </c>
      <c r="AF1207" s="168" t="s">
        <v>776</v>
      </c>
      <c r="AG1207" s="168" t="s">
        <v>776</v>
      </c>
      <c r="AH1207" s="169" t="s">
        <v>776</v>
      </c>
      <c r="AT1207" s="20" t="e">
        <f t="shared" si="278"/>
        <v>#N/A</v>
      </c>
      <c r="BZ1207" s="71">
        <v>4686244.08</v>
      </c>
    </row>
    <row r="1208" spans="1:78" ht="61.5" x14ac:dyDescent="0.85">
      <c r="A1208" s="20">
        <v>1</v>
      </c>
      <c r="B1208" s="66">
        <f>SUBTOTAL(103,$A$948:A1208)</f>
        <v>208</v>
      </c>
      <c r="C1208" s="24" t="s">
        <v>1400</v>
      </c>
      <c r="D1208" s="31">
        <f>E1208+F1208+G1208+H1208+I1208+J1208+L1208+N1208+P1208+R1208+T1208+U1208+V1208+W1208+X1208+Y1208+Z1208+AA1208+AB1208+AC1208+AD1208+AE1208</f>
        <v>4686244.08</v>
      </c>
      <c r="E1208" s="31">
        <v>0</v>
      </c>
      <c r="F1208" s="31">
        <v>0</v>
      </c>
      <c r="G1208" s="31">
        <v>0</v>
      </c>
      <c r="H1208" s="31">
        <v>0</v>
      </c>
      <c r="I1208" s="31">
        <v>0</v>
      </c>
      <c r="J1208" s="31">
        <v>0</v>
      </c>
      <c r="K1208" s="33">
        <v>0</v>
      </c>
      <c r="L1208" s="31">
        <v>0</v>
      </c>
      <c r="M1208" s="31">
        <v>720</v>
      </c>
      <c r="N1208" s="31">
        <f>2853393.18+1635517.24</f>
        <v>4488910.42</v>
      </c>
      <c r="O1208" s="31">
        <v>0</v>
      </c>
      <c r="P1208" s="31">
        <v>0</v>
      </c>
      <c r="Q1208" s="31">
        <v>0</v>
      </c>
      <c r="R1208" s="31">
        <v>0</v>
      </c>
      <c r="S1208" s="31">
        <v>0</v>
      </c>
      <c r="T1208" s="31">
        <v>0</v>
      </c>
      <c r="U1208" s="31">
        <v>0</v>
      </c>
      <c r="V1208" s="31">
        <v>0</v>
      </c>
      <c r="W1208" s="31">
        <v>0</v>
      </c>
      <c r="X1208" s="31">
        <v>0</v>
      </c>
      <c r="Y1208" s="31">
        <v>0</v>
      </c>
      <c r="Z1208" s="31">
        <v>0</v>
      </c>
      <c r="AA1208" s="31">
        <v>0</v>
      </c>
      <c r="AB1208" s="31">
        <v>0</v>
      </c>
      <c r="AC1208" s="31">
        <f>ROUND(N1208*1.5%,2)</f>
        <v>67333.66</v>
      </c>
      <c r="AD1208" s="31">
        <v>130000</v>
      </c>
      <c r="AE1208" s="31">
        <v>0</v>
      </c>
      <c r="AF1208" s="34">
        <v>2022</v>
      </c>
      <c r="AG1208" s="34">
        <v>2022</v>
      </c>
      <c r="AH1208" s="35">
        <v>2022</v>
      </c>
      <c r="AT1208" s="20" t="e">
        <f t="shared" si="278"/>
        <v>#N/A</v>
      </c>
      <c r="BZ1208" s="71"/>
    </row>
    <row r="1209" spans="1:78" ht="61.5" x14ac:dyDescent="0.85">
      <c r="B1209" s="24" t="s">
        <v>886</v>
      </c>
      <c r="C1209" s="24"/>
      <c r="D1209" s="31">
        <f>D1210</f>
        <v>3600600</v>
      </c>
      <c r="E1209" s="31">
        <f t="shared" ref="E1209:AE1209" si="284">E1210</f>
        <v>0</v>
      </c>
      <c r="F1209" s="31">
        <f t="shared" si="284"/>
        <v>0</v>
      </c>
      <c r="G1209" s="31">
        <f t="shared" si="284"/>
        <v>0</v>
      </c>
      <c r="H1209" s="31">
        <f t="shared" si="284"/>
        <v>0</v>
      </c>
      <c r="I1209" s="31">
        <f t="shared" si="284"/>
        <v>0</v>
      </c>
      <c r="J1209" s="31">
        <f t="shared" si="284"/>
        <v>0</v>
      </c>
      <c r="K1209" s="33">
        <f t="shared" si="284"/>
        <v>0</v>
      </c>
      <c r="L1209" s="31">
        <f t="shared" si="284"/>
        <v>0</v>
      </c>
      <c r="M1209" s="31">
        <f t="shared" si="284"/>
        <v>351</v>
      </c>
      <c r="N1209" s="31">
        <f t="shared" si="284"/>
        <v>1731597.04</v>
      </c>
      <c r="O1209" s="31">
        <f t="shared" si="284"/>
        <v>0</v>
      </c>
      <c r="P1209" s="31">
        <f t="shared" si="284"/>
        <v>0</v>
      </c>
      <c r="Q1209" s="31">
        <f t="shared" si="284"/>
        <v>333.4</v>
      </c>
      <c r="R1209" s="31">
        <f t="shared" si="284"/>
        <v>1668008.8699999999</v>
      </c>
      <c r="S1209" s="31">
        <f t="shared" si="284"/>
        <v>0</v>
      </c>
      <c r="T1209" s="31">
        <f t="shared" si="284"/>
        <v>0</v>
      </c>
      <c r="U1209" s="31">
        <f t="shared" si="284"/>
        <v>0</v>
      </c>
      <c r="V1209" s="31">
        <f t="shared" si="284"/>
        <v>0</v>
      </c>
      <c r="W1209" s="31">
        <f t="shared" si="284"/>
        <v>0</v>
      </c>
      <c r="X1209" s="31">
        <f t="shared" si="284"/>
        <v>0</v>
      </c>
      <c r="Y1209" s="31">
        <f t="shared" si="284"/>
        <v>0</v>
      </c>
      <c r="Z1209" s="31">
        <f t="shared" si="284"/>
        <v>0</v>
      </c>
      <c r="AA1209" s="31">
        <f t="shared" si="284"/>
        <v>0</v>
      </c>
      <c r="AB1209" s="31">
        <f t="shared" si="284"/>
        <v>0</v>
      </c>
      <c r="AC1209" s="31">
        <f t="shared" si="284"/>
        <v>50994.09</v>
      </c>
      <c r="AD1209" s="31">
        <f t="shared" si="284"/>
        <v>150000</v>
      </c>
      <c r="AE1209" s="31">
        <f t="shared" si="284"/>
        <v>0</v>
      </c>
      <c r="AF1209" s="168" t="s">
        <v>776</v>
      </c>
      <c r="AG1209" s="168" t="s">
        <v>776</v>
      </c>
      <c r="AH1209" s="169" t="s">
        <v>776</v>
      </c>
      <c r="AT1209" s="20" t="e">
        <f t="shared" si="278"/>
        <v>#N/A</v>
      </c>
      <c r="BZ1209" s="71">
        <v>3600600</v>
      </c>
    </row>
    <row r="1210" spans="1:78" ht="61.5" x14ac:dyDescent="0.85">
      <c r="A1210" s="20">
        <v>1</v>
      </c>
      <c r="B1210" s="66">
        <f>SUBTOTAL(103,$A$948:A1210)</f>
        <v>209</v>
      </c>
      <c r="C1210" s="24" t="s">
        <v>819</v>
      </c>
      <c r="D1210" s="31">
        <f>E1210+F1210+G1210+H1210+I1210+J1210+L1210+N1210+P1210+R1210+T1210+U1210+V1210+W1210+X1210+Y1210+Z1210+AA1210+AB1210+AC1210+AD1210+AE1210</f>
        <v>3600600</v>
      </c>
      <c r="E1210" s="31">
        <v>0</v>
      </c>
      <c r="F1210" s="31">
        <v>0</v>
      </c>
      <c r="G1210" s="31">
        <v>0</v>
      </c>
      <c r="H1210" s="31">
        <v>0</v>
      </c>
      <c r="I1210" s="31">
        <v>0</v>
      </c>
      <c r="J1210" s="31">
        <v>0</v>
      </c>
      <c r="K1210" s="33">
        <v>0</v>
      </c>
      <c r="L1210" s="31">
        <v>0</v>
      </c>
      <c r="M1210" s="31">
        <v>351</v>
      </c>
      <c r="N1210" s="31">
        <v>1731597.04</v>
      </c>
      <c r="O1210" s="31">
        <v>0</v>
      </c>
      <c r="P1210" s="31">
        <v>0</v>
      </c>
      <c r="Q1210" s="31">
        <v>333.4</v>
      </c>
      <c r="R1210" s="31">
        <v>1668008.8699999999</v>
      </c>
      <c r="S1210" s="31">
        <v>0</v>
      </c>
      <c r="T1210" s="31">
        <v>0</v>
      </c>
      <c r="U1210" s="31">
        <v>0</v>
      </c>
      <c r="V1210" s="31">
        <v>0</v>
      </c>
      <c r="W1210" s="31">
        <v>0</v>
      </c>
      <c r="X1210" s="31">
        <v>0</v>
      </c>
      <c r="Y1210" s="31">
        <v>0</v>
      </c>
      <c r="Z1210" s="31">
        <v>0</v>
      </c>
      <c r="AA1210" s="31">
        <v>0</v>
      </c>
      <c r="AB1210" s="31">
        <v>0</v>
      </c>
      <c r="AC1210" s="31">
        <f>ROUND((N1210+R1210)*1.5%,2)</f>
        <v>50994.09</v>
      </c>
      <c r="AD1210" s="31">
        <v>150000</v>
      </c>
      <c r="AE1210" s="31">
        <v>0</v>
      </c>
      <c r="AF1210" s="34">
        <v>2022</v>
      </c>
      <c r="AG1210" s="34">
        <v>2022</v>
      </c>
      <c r="AH1210" s="35">
        <v>2022</v>
      </c>
      <c r="AT1210" s="20" t="e">
        <f t="shared" si="278"/>
        <v>#N/A</v>
      </c>
      <c r="BZ1210" s="71"/>
    </row>
    <row r="1211" spans="1:78" ht="61.5" x14ac:dyDescent="0.85">
      <c r="B1211" s="24" t="s">
        <v>905</v>
      </c>
      <c r="C1211" s="24"/>
      <c r="D1211" s="31">
        <f>D1212</f>
        <v>2233993.96</v>
      </c>
      <c r="E1211" s="31">
        <f t="shared" ref="E1211:AE1211" si="285">E1212</f>
        <v>0</v>
      </c>
      <c r="F1211" s="31">
        <f t="shared" si="285"/>
        <v>0</v>
      </c>
      <c r="G1211" s="31">
        <f t="shared" si="285"/>
        <v>0</v>
      </c>
      <c r="H1211" s="31">
        <f t="shared" si="285"/>
        <v>0</v>
      </c>
      <c r="I1211" s="31">
        <f t="shared" si="285"/>
        <v>0</v>
      </c>
      <c r="J1211" s="31">
        <f t="shared" si="285"/>
        <v>0</v>
      </c>
      <c r="K1211" s="33">
        <f t="shared" si="285"/>
        <v>0</v>
      </c>
      <c r="L1211" s="31">
        <f t="shared" si="285"/>
        <v>0</v>
      </c>
      <c r="M1211" s="31">
        <f t="shared" si="285"/>
        <v>376</v>
      </c>
      <c r="N1211" s="31">
        <f t="shared" si="285"/>
        <v>2082752.67</v>
      </c>
      <c r="O1211" s="31">
        <f t="shared" si="285"/>
        <v>0</v>
      </c>
      <c r="P1211" s="31">
        <f t="shared" si="285"/>
        <v>0</v>
      </c>
      <c r="Q1211" s="31">
        <f t="shared" si="285"/>
        <v>0</v>
      </c>
      <c r="R1211" s="31">
        <f t="shared" si="285"/>
        <v>0</v>
      </c>
      <c r="S1211" s="31">
        <f t="shared" si="285"/>
        <v>0</v>
      </c>
      <c r="T1211" s="31">
        <f t="shared" si="285"/>
        <v>0</v>
      </c>
      <c r="U1211" s="31">
        <f t="shared" si="285"/>
        <v>0</v>
      </c>
      <c r="V1211" s="31">
        <f t="shared" si="285"/>
        <v>0</v>
      </c>
      <c r="W1211" s="31">
        <f t="shared" si="285"/>
        <v>0</v>
      </c>
      <c r="X1211" s="31">
        <f t="shared" si="285"/>
        <v>0</v>
      </c>
      <c r="Y1211" s="31">
        <f t="shared" si="285"/>
        <v>0</v>
      </c>
      <c r="Z1211" s="31">
        <f t="shared" si="285"/>
        <v>0</v>
      </c>
      <c r="AA1211" s="31">
        <f t="shared" si="285"/>
        <v>0</v>
      </c>
      <c r="AB1211" s="31">
        <f t="shared" si="285"/>
        <v>0</v>
      </c>
      <c r="AC1211" s="31">
        <f t="shared" si="285"/>
        <v>31241.29</v>
      </c>
      <c r="AD1211" s="31">
        <f t="shared" si="285"/>
        <v>120000</v>
      </c>
      <c r="AE1211" s="31">
        <f t="shared" si="285"/>
        <v>0</v>
      </c>
      <c r="AF1211" s="168" t="s">
        <v>776</v>
      </c>
      <c r="AG1211" s="168" t="s">
        <v>776</v>
      </c>
      <c r="AH1211" s="169" t="s">
        <v>776</v>
      </c>
      <c r="AT1211" s="20" t="e">
        <f t="shared" si="278"/>
        <v>#N/A</v>
      </c>
      <c r="BZ1211" s="71">
        <v>2233993.96</v>
      </c>
    </row>
    <row r="1212" spans="1:78" ht="61.5" x14ac:dyDescent="0.85">
      <c r="A1212" s="20">
        <v>1</v>
      </c>
      <c r="B1212" s="66">
        <f>SUBTOTAL(103,$A$948:A1212)</f>
        <v>210</v>
      </c>
      <c r="C1212" s="24" t="s">
        <v>201</v>
      </c>
      <c r="D1212" s="31">
        <f>E1212+F1212+G1212+H1212+I1212+J1212+L1212+N1212+P1212+R1212+T1212+U1212+V1212+W1212+X1212+Y1212+Z1212+AA1212+AB1212+AC1212+AD1212+AE1212</f>
        <v>2233993.96</v>
      </c>
      <c r="E1212" s="31">
        <v>0</v>
      </c>
      <c r="F1212" s="31">
        <v>0</v>
      </c>
      <c r="G1212" s="31">
        <v>0</v>
      </c>
      <c r="H1212" s="31">
        <v>0</v>
      </c>
      <c r="I1212" s="31">
        <v>0</v>
      </c>
      <c r="J1212" s="31">
        <v>0</v>
      </c>
      <c r="K1212" s="33">
        <v>0</v>
      </c>
      <c r="L1212" s="31">
        <v>0</v>
      </c>
      <c r="M1212" s="31">
        <v>376</v>
      </c>
      <c r="N1212" s="31">
        <f>1771034.48+311718.19</f>
        <v>2082752.67</v>
      </c>
      <c r="O1212" s="31">
        <v>0</v>
      </c>
      <c r="P1212" s="31">
        <v>0</v>
      </c>
      <c r="Q1212" s="31">
        <v>0</v>
      </c>
      <c r="R1212" s="31">
        <v>0</v>
      </c>
      <c r="S1212" s="31">
        <v>0</v>
      </c>
      <c r="T1212" s="31">
        <v>0</v>
      </c>
      <c r="U1212" s="31">
        <v>0</v>
      </c>
      <c r="V1212" s="31">
        <v>0</v>
      </c>
      <c r="W1212" s="31">
        <v>0</v>
      </c>
      <c r="X1212" s="31">
        <v>0</v>
      </c>
      <c r="Y1212" s="31">
        <v>0</v>
      </c>
      <c r="Z1212" s="31">
        <v>0</v>
      </c>
      <c r="AA1212" s="31">
        <v>0</v>
      </c>
      <c r="AB1212" s="31">
        <v>0</v>
      </c>
      <c r="AC1212" s="31">
        <f>ROUND(N1212*1.5%,2)</f>
        <v>31241.29</v>
      </c>
      <c r="AD1212" s="31">
        <v>120000</v>
      </c>
      <c r="AE1212" s="31">
        <v>0</v>
      </c>
      <c r="AF1212" s="34">
        <v>2022</v>
      </c>
      <c r="AG1212" s="34">
        <v>2022</v>
      </c>
      <c r="AH1212" s="35">
        <v>2022</v>
      </c>
      <c r="AT1212" s="20" t="e">
        <f t="shared" si="278"/>
        <v>#N/A</v>
      </c>
      <c r="BZ1212" s="71"/>
    </row>
    <row r="1213" spans="1:78" ht="61.5" x14ac:dyDescent="0.85">
      <c r="B1213" s="24" t="s">
        <v>887</v>
      </c>
      <c r="C1213" s="166"/>
      <c r="D1213" s="31">
        <f>SUM(D1214:D1216)</f>
        <v>14392200</v>
      </c>
      <c r="E1213" s="31">
        <f t="shared" ref="E1213:AE1213" si="286">SUM(E1214:E1216)</f>
        <v>0</v>
      </c>
      <c r="F1213" s="31">
        <f t="shared" si="286"/>
        <v>0</v>
      </c>
      <c r="G1213" s="31">
        <f t="shared" si="286"/>
        <v>0</v>
      </c>
      <c r="H1213" s="31">
        <f t="shared" si="286"/>
        <v>0</v>
      </c>
      <c r="I1213" s="31">
        <f t="shared" si="286"/>
        <v>0</v>
      </c>
      <c r="J1213" s="31">
        <f t="shared" si="286"/>
        <v>0</v>
      </c>
      <c r="K1213" s="33">
        <f t="shared" si="286"/>
        <v>0</v>
      </c>
      <c r="L1213" s="31">
        <f t="shared" si="286"/>
        <v>0</v>
      </c>
      <c r="M1213" s="31">
        <f t="shared" si="286"/>
        <v>2822</v>
      </c>
      <c r="N1213" s="31">
        <f t="shared" si="286"/>
        <v>13706600.99</v>
      </c>
      <c r="O1213" s="31">
        <f t="shared" si="286"/>
        <v>0</v>
      </c>
      <c r="P1213" s="31">
        <f t="shared" si="286"/>
        <v>0</v>
      </c>
      <c r="Q1213" s="31">
        <f t="shared" si="286"/>
        <v>0</v>
      </c>
      <c r="R1213" s="31">
        <f t="shared" si="286"/>
        <v>0</v>
      </c>
      <c r="S1213" s="31">
        <f t="shared" si="286"/>
        <v>0</v>
      </c>
      <c r="T1213" s="31">
        <f t="shared" si="286"/>
        <v>0</v>
      </c>
      <c r="U1213" s="31">
        <f t="shared" si="286"/>
        <v>0</v>
      </c>
      <c r="V1213" s="31">
        <f t="shared" si="286"/>
        <v>0</v>
      </c>
      <c r="W1213" s="31">
        <f t="shared" si="286"/>
        <v>0</v>
      </c>
      <c r="X1213" s="31">
        <f t="shared" si="286"/>
        <v>0</v>
      </c>
      <c r="Y1213" s="31">
        <f t="shared" si="286"/>
        <v>0</v>
      </c>
      <c r="Z1213" s="31">
        <f t="shared" si="286"/>
        <v>0</v>
      </c>
      <c r="AA1213" s="31">
        <f t="shared" si="286"/>
        <v>0</v>
      </c>
      <c r="AB1213" s="31">
        <f t="shared" si="286"/>
        <v>0</v>
      </c>
      <c r="AC1213" s="31">
        <f t="shared" si="286"/>
        <v>205599.01</v>
      </c>
      <c r="AD1213" s="31">
        <f t="shared" si="286"/>
        <v>480000</v>
      </c>
      <c r="AE1213" s="31">
        <f t="shared" si="286"/>
        <v>0</v>
      </c>
      <c r="AF1213" s="168" t="s">
        <v>776</v>
      </c>
      <c r="AG1213" s="168" t="s">
        <v>776</v>
      </c>
      <c r="AH1213" s="169" t="s">
        <v>776</v>
      </c>
      <c r="AT1213" s="20" t="e">
        <f t="shared" si="278"/>
        <v>#N/A</v>
      </c>
      <c r="BZ1213" s="71">
        <v>14392200</v>
      </c>
    </row>
    <row r="1214" spans="1:78" ht="61.5" x14ac:dyDescent="0.85">
      <c r="A1214" s="20">
        <v>1</v>
      </c>
      <c r="B1214" s="66">
        <f>SUBTOTAL(103,$A$948:A1214)</f>
        <v>211</v>
      </c>
      <c r="C1214" s="24" t="s">
        <v>218</v>
      </c>
      <c r="D1214" s="31">
        <f>E1214+F1214+G1214+H1214+I1214+J1214+L1214+N1214+P1214+R1214+T1214+U1214+V1214+W1214+X1214+Y1214+Z1214+AA1214+AB1214+AC1214+AD1214+AE1214</f>
        <v>6002700</v>
      </c>
      <c r="E1214" s="31">
        <v>0</v>
      </c>
      <c r="F1214" s="31">
        <v>0</v>
      </c>
      <c r="G1214" s="31">
        <v>0</v>
      </c>
      <c r="H1214" s="31">
        <v>0</v>
      </c>
      <c r="I1214" s="31">
        <v>0</v>
      </c>
      <c r="J1214" s="31">
        <v>0</v>
      </c>
      <c r="K1214" s="33">
        <v>0</v>
      </c>
      <c r="L1214" s="31">
        <v>0</v>
      </c>
      <c r="M1214" s="31">
        <v>1177</v>
      </c>
      <c r="N1214" s="31">
        <v>5736650.25</v>
      </c>
      <c r="O1214" s="31">
        <v>0</v>
      </c>
      <c r="P1214" s="31">
        <v>0</v>
      </c>
      <c r="Q1214" s="31">
        <v>0</v>
      </c>
      <c r="R1214" s="31">
        <v>0</v>
      </c>
      <c r="S1214" s="31">
        <v>0</v>
      </c>
      <c r="T1214" s="31">
        <v>0</v>
      </c>
      <c r="U1214" s="31">
        <v>0</v>
      </c>
      <c r="V1214" s="31">
        <v>0</v>
      </c>
      <c r="W1214" s="31">
        <v>0</v>
      </c>
      <c r="X1214" s="31">
        <v>0</v>
      </c>
      <c r="Y1214" s="31">
        <v>0</v>
      </c>
      <c r="Z1214" s="31">
        <v>0</v>
      </c>
      <c r="AA1214" s="31">
        <v>0</v>
      </c>
      <c r="AB1214" s="31">
        <v>0</v>
      </c>
      <c r="AC1214" s="31">
        <f>ROUND(N1214*1.5%,2)</f>
        <v>86049.75</v>
      </c>
      <c r="AD1214" s="31">
        <v>180000</v>
      </c>
      <c r="AE1214" s="31">
        <v>0</v>
      </c>
      <c r="AF1214" s="34">
        <v>2022</v>
      </c>
      <c r="AG1214" s="34">
        <v>2022</v>
      </c>
      <c r="AH1214" s="35">
        <v>2022</v>
      </c>
      <c r="AT1214" s="20" t="e">
        <f t="shared" si="278"/>
        <v>#N/A</v>
      </c>
      <c r="BZ1214" s="71"/>
    </row>
    <row r="1215" spans="1:78" ht="61.5" x14ac:dyDescent="0.85">
      <c r="A1215" s="20">
        <v>1</v>
      </c>
      <c r="B1215" s="66">
        <f>SUBTOTAL(103,$A$948:A1215)</f>
        <v>212</v>
      </c>
      <c r="C1215" s="24" t="s">
        <v>219</v>
      </c>
      <c r="D1215" s="31">
        <f>E1215+F1215+G1215+H1215+I1215+J1215+L1215+N1215+P1215+R1215+T1215+U1215+V1215+W1215+X1215+Y1215+Z1215+AA1215+AB1215+AC1215+AD1215+AE1215</f>
        <v>4059600</v>
      </c>
      <c r="E1215" s="31">
        <v>0</v>
      </c>
      <c r="F1215" s="31">
        <v>0</v>
      </c>
      <c r="G1215" s="31">
        <v>0</v>
      </c>
      <c r="H1215" s="31">
        <v>0</v>
      </c>
      <c r="I1215" s="31">
        <v>0</v>
      </c>
      <c r="J1215" s="31">
        <v>0</v>
      </c>
      <c r="K1215" s="33">
        <v>0</v>
      </c>
      <c r="L1215" s="31">
        <v>0</v>
      </c>
      <c r="M1215" s="31">
        <v>796</v>
      </c>
      <c r="N1215" s="31">
        <v>3851822.66</v>
      </c>
      <c r="O1215" s="31">
        <v>0</v>
      </c>
      <c r="P1215" s="31">
        <v>0</v>
      </c>
      <c r="Q1215" s="31">
        <v>0</v>
      </c>
      <c r="R1215" s="31">
        <v>0</v>
      </c>
      <c r="S1215" s="31">
        <v>0</v>
      </c>
      <c r="T1215" s="31">
        <v>0</v>
      </c>
      <c r="U1215" s="31">
        <v>0</v>
      </c>
      <c r="V1215" s="31">
        <v>0</v>
      </c>
      <c r="W1215" s="31">
        <v>0</v>
      </c>
      <c r="X1215" s="31">
        <v>0</v>
      </c>
      <c r="Y1215" s="31">
        <v>0</v>
      </c>
      <c r="Z1215" s="31">
        <v>0</v>
      </c>
      <c r="AA1215" s="31">
        <v>0</v>
      </c>
      <c r="AB1215" s="31">
        <v>0</v>
      </c>
      <c r="AC1215" s="31">
        <f>ROUND(N1215*1.5%,2)</f>
        <v>57777.34</v>
      </c>
      <c r="AD1215" s="31">
        <v>150000</v>
      </c>
      <c r="AE1215" s="31">
        <v>0</v>
      </c>
      <c r="AF1215" s="34">
        <v>2022</v>
      </c>
      <c r="AG1215" s="34">
        <v>2022</v>
      </c>
      <c r="AH1215" s="35">
        <v>2022</v>
      </c>
      <c r="AT1215" s="20" t="e">
        <f t="shared" si="278"/>
        <v>#N/A</v>
      </c>
      <c r="BZ1215" s="71"/>
    </row>
    <row r="1216" spans="1:78" ht="61.5" x14ac:dyDescent="0.85">
      <c r="A1216" s="20">
        <v>1</v>
      </c>
      <c r="B1216" s="66">
        <f>SUBTOTAL(103,$A$948:A1216)</f>
        <v>213</v>
      </c>
      <c r="C1216" s="24" t="s">
        <v>220</v>
      </c>
      <c r="D1216" s="31">
        <f>E1216+F1216+G1216+H1216+I1216+J1216+L1216+N1216+P1216+R1216+T1216+U1216+V1216+W1216+X1216+Y1216+Z1216+AA1216+AB1216+AC1216+AD1216+AE1216</f>
        <v>4329900</v>
      </c>
      <c r="E1216" s="31">
        <v>0</v>
      </c>
      <c r="F1216" s="31">
        <v>0</v>
      </c>
      <c r="G1216" s="31">
        <v>0</v>
      </c>
      <c r="H1216" s="31">
        <v>0</v>
      </c>
      <c r="I1216" s="31">
        <v>0</v>
      </c>
      <c r="J1216" s="31">
        <v>0</v>
      </c>
      <c r="K1216" s="33">
        <v>0</v>
      </c>
      <c r="L1216" s="31">
        <v>0</v>
      </c>
      <c r="M1216" s="31">
        <v>849</v>
      </c>
      <c r="N1216" s="31">
        <v>4118128.08</v>
      </c>
      <c r="O1216" s="31">
        <v>0</v>
      </c>
      <c r="P1216" s="31">
        <v>0</v>
      </c>
      <c r="Q1216" s="31">
        <v>0</v>
      </c>
      <c r="R1216" s="31">
        <v>0</v>
      </c>
      <c r="S1216" s="31">
        <v>0</v>
      </c>
      <c r="T1216" s="31">
        <v>0</v>
      </c>
      <c r="U1216" s="31">
        <v>0</v>
      </c>
      <c r="V1216" s="31">
        <v>0</v>
      </c>
      <c r="W1216" s="31">
        <v>0</v>
      </c>
      <c r="X1216" s="31">
        <v>0</v>
      </c>
      <c r="Y1216" s="31">
        <v>0</v>
      </c>
      <c r="Z1216" s="31">
        <v>0</v>
      </c>
      <c r="AA1216" s="31">
        <v>0</v>
      </c>
      <c r="AB1216" s="31">
        <v>0</v>
      </c>
      <c r="AC1216" s="31">
        <f>ROUND(N1216*1.5%,2)</f>
        <v>61771.92</v>
      </c>
      <c r="AD1216" s="31">
        <v>150000</v>
      </c>
      <c r="AE1216" s="31">
        <v>0</v>
      </c>
      <c r="AF1216" s="34">
        <v>2022</v>
      </c>
      <c r="AG1216" s="34">
        <v>2022</v>
      </c>
      <c r="AH1216" s="35">
        <v>2022</v>
      </c>
      <c r="AT1216" s="20" t="e">
        <f t="shared" si="278"/>
        <v>#N/A</v>
      </c>
      <c r="BZ1216" s="71"/>
    </row>
    <row r="1217" spans="1:78" ht="61.5" x14ac:dyDescent="0.85">
      <c r="B1217" s="24" t="s">
        <v>888</v>
      </c>
      <c r="C1217" s="24"/>
      <c r="D1217" s="31">
        <f>D1218</f>
        <v>3396600</v>
      </c>
      <c r="E1217" s="31">
        <f t="shared" ref="E1217:AE1217" si="287">E1218</f>
        <v>0</v>
      </c>
      <c r="F1217" s="31">
        <f t="shared" si="287"/>
        <v>0</v>
      </c>
      <c r="G1217" s="31">
        <f t="shared" si="287"/>
        <v>0</v>
      </c>
      <c r="H1217" s="31">
        <f t="shared" si="287"/>
        <v>0</v>
      </c>
      <c r="I1217" s="31">
        <f t="shared" si="287"/>
        <v>0</v>
      </c>
      <c r="J1217" s="31">
        <f t="shared" si="287"/>
        <v>0</v>
      </c>
      <c r="K1217" s="33">
        <f t="shared" si="287"/>
        <v>0</v>
      </c>
      <c r="L1217" s="31">
        <f t="shared" si="287"/>
        <v>0</v>
      </c>
      <c r="M1217" s="31">
        <f t="shared" si="287"/>
        <v>666</v>
      </c>
      <c r="N1217" s="31">
        <f t="shared" si="287"/>
        <v>3198620.69</v>
      </c>
      <c r="O1217" s="31">
        <f t="shared" si="287"/>
        <v>0</v>
      </c>
      <c r="P1217" s="31">
        <f t="shared" si="287"/>
        <v>0</v>
      </c>
      <c r="Q1217" s="31">
        <f t="shared" si="287"/>
        <v>0</v>
      </c>
      <c r="R1217" s="31">
        <f t="shared" si="287"/>
        <v>0</v>
      </c>
      <c r="S1217" s="31">
        <f t="shared" si="287"/>
        <v>0</v>
      </c>
      <c r="T1217" s="31">
        <f t="shared" si="287"/>
        <v>0</v>
      </c>
      <c r="U1217" s="31">
        <f t="shared" si="287"/>
        <v>0</v>
      </c>
      <c r="V1217" s="31">
        <f t="shared" si="287"/>
        <v>0</v>
      </c>
      <c r="W1217" s="31">
        <f t="shared" si="287"/>
        <v>0</v>
      </c>
      <c r="X1217" s="31">
        <f t="shared" si="287"/>
        <v>0</v>
      </c>
      <c r="Y1217" s="31">
        <f t="shared" si="287"/>
        <v>0</v>
      </c>
      <c r="Z1217" s="31">
        <f t="shared" si="287"/>
        <v>0</v>
      </c>
      <c r="AA1217" s="31">
        <f t="shared" si="287"/>
        <v>0</v>
      </c>
      <c r="AB1217" s="31">
        <f t="shared" si="287"/>
        <v>0</v>
      </c>
      <c r="AC1217" s="31">
        <f t="shared" si="287"/>
        <v>47979.31</v>
      </c>
      <c r="AD1217" s="31">
        <f t="shared" si="287"/>
        <v>150000</v>
      </c>
      <c r="AE1217" s="31">
        <f t="shared" si="287"/>
        <v>0</v>
      </c>
      <c r="AF1217" s="168" t="s">
        <v>776</v>
      </c>
      <c r="AG1217" s="168" t="s">
        <v>776</v>
      </c>
      <c r="AH1217" s="169" t="s">
        <v>776</v>
      </c>
      <c r="AT1217" s="20" t="e">
        <f t="shared" si="278"/>
        <v>#N/A</v>
      </c>
      <c r="BZ1217" s="71">
        <v>3396600</v>
      </c>
    </row>
    <row r="1218" spans="1:78" ht="61.5" x14ac:dyDescent="0.85">
      <c r="A1218" s="20">
        <v>1</v>
      </c>
      <c r="B1218" s="66">
        <f>SUBTOTAL(103,$A$948:A1218)</f>
        <v>214</v>
      </c>
      <c r="C1218" s="24" t="s">
        <v>226</v>
      </c>
      <c r="D1218" s="31">
        <f>E1218+F1218+G1218+H1218+I1218+J1218+L1218+N1218+P1218+R1218+T1218+U1218+V1218+W1218+X1218+Y1218+Z1218+AA1218+AB1218+AC1218+AD1218+AE1218</f>
        <v>3396600</v>
      </c>
      <c r="E1218" s="31">
        <v>0</v>
      </c>
      <c r="F1218" s="31">
        <v>0</v>
      </c>
      <c r="G1218" s="31">
        <v>0</v>
      </c>
      <c r="H1218" s="31">
        <v>0</v>
      </c>
      <c r="I1218" s="31">
        <v>0</v>
      </c>
      <c r="J1218" s="31">
        <v>0</v>
      </c>
      <c r="K1218" s="33">
        <v>0</v>
      </c>
      <c r="L1218" s="31">
        <v>0</v>
      </c>
      <c r="M1218" s="31">
        <v>666</v>
      </c>
      <c r="N1218" s="31">
        <v>3198620.69</v>
      </c>
      <c r="O1218" s="31">
        <v>0</v>
      </c>
      <c r="P1218" s="31">
        <v>0</v>
      </c>
      <c r="Q1218" s="31">
        <v>0</v>
      </c>
      <c r="R1218" s="31">
        <v>0</v>
      </c>
      <c r="S1218" s="31">
        <v>0</v>
      </c>
      <c r="T1218" s="31">
        <v>0</v>
      </c>
      <c r="U1218" s="31">
        <v>0</v>
      </c>
      <c r="V1218" s="31">
        <v>0</v>
      </c>
      <c r="W1218" s="31">
        <v>0</v>
      </c>
      <c r="X1218" s="31">
        <v>0</v>
      </c>
      <c r="Y1218" s="31">
        <v>0</v>
      </c>
      <c r="Z1218" s="31">
        <v>0</v>
      </c>
      <c r="AA1218" s="31">
        <v>0</v>
      </c>
      <c r="AB1218" s="31">
        <v>0</v>
      </c>
      <c r="AC1218" s="31">
        <f>ROUND(N1218*1.5%,2)</f>
        <v>47979.31</v>
      </c>
      <c r="AD1218" s="31">
        <v>150000</v>
      </c>
      <c r="AE1218" s="31">
        <v>0</v>
      </c>
      <c r="AF1218" s="34">
        <v>2022</v>
      </c>
      <c r="AG1218" s="34">
        <v>2022</v>
      </c>
      <c r="AH1218" s="35">
        <v>2022</v>
      </c>
      <c r="AT1218" s="20">
        <f t="shared" si="278"/>
        <v>1</v>
      </c>
      <c r="BZ1218" s="71"/>
    </row>
  </sheetData>
  <autoFilter ref="A18:CH1217" xr:uid="{8899E6CD-82EF-4DD9-B6CD-653E15C1DDAE}"/>
  <mergeCells count="40">
    <mergeCell ref="B7:B8"/>
    <mergeCell ref="W1:AH1"/>
    <mergeCell ref="V2:AH2"/>
    <mergeCell ref="V3:AH3"/>
    <mergeCell ref="B4:AH4"/>
    <mergeCell ref="B5:AH5"/>
    <mergeCell ref="B6:AH6"/>
    <mergeCell ref="C7:AH8"/>
    <mergeCell ref="C9:AH9"/>
    <mergeCell ref="AB12:AB16"/>
    <mergeCell ref="AC12:AC16"/>
    <mergeCell ref="E13:E16"/>
    <mergeCell ref="F13:F16"/>
    <mergeCell ref="G13:G16"/>
    <mergeCell ref="H13:H16"/>
    <mergeCell ref="I13:I16"/>
    <mergeCell ref="X12:X16"/>
    <mergeCell ref="Y12:Y16"/>
    <mergeCell ref="J13:J16"/>
    <mergeCell ref="Z12:Z16"/>
    <mergeCell ref="AA12:AA16"/>
    <mergeCell ref="E11:T11"/>
    <mergeCell ref="U11:AE11"/>
    <mergeCell ref="AF11:AF17"/>
    <mergeCell ref="D11:D16"/>
    <mergeCell ref="B11:B17"/>
    <mergeCell ref="C11:C17"/>
    <mergeCell ref="AG11:AG17"/>
    <mergeCell ref="AH11:AH17"/>
    <mergeCell ref="E12:J12"/>
    <mergeCell ref="K12:L16"/>
    <mergeCell ref="M12:N16"/>
    <mergeCell ref="O12:P16"/>
    <mergeCell ref="Q12:R16"/>
    <mergeCell ref="AD12:AD16"/>
    <mergeCell ref="AE12:AE16"/>
    <mergeCell ref="S12:T16"/>
    <mergeCell ref="U12:U16"/>
    <mergeCell ref="V12:V16"/>
    <mergeCell ref="W12:W16"/>
  </mergeCells>
  <pageMargins left="0" right="0.16" top="0.39370078740157483" bottom="0.39370078740157483" header="0" footer="0"/>
  <pageSetup paperSize="8" scale="10" fitToHeight="0" orientation="landscape" r:id="rId1"/>
  <headerFooter differentFirst="1">
    <oddHeader>&amp;C&amp;48&amp;P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L1639"/>
  <sheetViews>
    <sheetView view="pageBreakPreview" topLeftCell="B591" zoomScale="30" zoomScaleNormal="40" zoomScaleSheetLayoutView="30" workbookViewId="0">
      <selection activeCell="H506" sqref="H506"/>
    </sheetView>
  </sheetViews>
  <sheetFormatPr defaultRowHeight="15" x14ac:dyDescent="0.25"/>
  <cols>
    <col min="1" max="1" width="9.140625" style="6" hidden="1" customWidth="1"/>
    <col min="2" max="2" width="19.42578125" style="14" customWidth="1"/>
    <col min="3" max="3" width="152.140625" style="6" customWidth="1"/>
    <col min="4" max="4" width="35.140625" style="6" customWidth="1"/>
    <col min="5" max="5" width="29.28515625" style="14" customWidth="1"/>
    <col min="6" max="6" width="52.140625" style="6" customWidth="1"/>
    <col min="7" max="7" width="16.85546875" style="6" customWidth="1"/>
    <col min="8" max="8" width="17" style="6" customWidth="1"/>
    <col min="9" max="9" width="35.7109375" style="6" customWidth="1"/>
    <col min="10" max="10" width="34.7109375" style="6" customWidth="1"/>
    <col min="11" max="11" width="34.28515625" style="6" customWidth="1"/>
    <col min="12" max="12" width="22" style="15" customWidth="1"/>
    <col min="13" max="13" width="32.7109375" style="14" customWidth="1"/>
    <col min="14" max="14" width="43.28515625" style="14" customWidth="1"/>
    <col min="15" max="15" width="136.85546875" style="29" customWidth="1"/>
    <col min="16" max="16" width="46.7109375" style="16" customWidth="1"/>
    <col min="17" max="17" width="28.140625" style="16" customWidth="1"/>
    <col min="18" max="18" width="27" style="16" customWidth="1"/>
    <col min="19" max="19" width="41.42578125" style="16" customWidth="1"/>
    <col min="20" max="20" width="30.85546875" style="16" customWidth="1"/>
    <col min="21" max="21" width="32.28515625" style="16" customWidth="1"/>
    <col min="22" max="24" width="32.28515625" style="16" hidden="1" customWidth="1"/>
    <col min="25" max="25" width="28.140625" style="6" hidden="1" customWidth="1"/>
    <col min="26" max="26" width="9.140625" style="6" hidden="1" customWidth="1"/>
    <col min="27" max="29" width="23" style="6" hidden="1" customWidth="1"/>
    <col min="30" max="30" width="9.140625" style="6" hidden="1" customWidth="1"/>
    <col min="31" max="31" width="85" style="6" hidden="1" customWidth="1"/>
    <col min="32" max="33" width="16" style="6" hidden="1" customWidth="1"/>
    <col min="34" max="34" width="27.42578125" style="6" hidden="1" customWidth="1"/>
    <col min="35" max="35" width="16" style="6" hidden="1" customWidth="1"/>
    <col min="36" max="36" width="44.85546875" style="6" hidden="1" customWidth="1"/>
    <col min="37" max="44" width="9.140625" style="6" hidden="1" customWidth="1"/>
    <col min="45" max="45" width="36" style="6" hidden="1" customWidth="1"/>
    <col min="46" max="79" width="9.140625" style="6" hidden="1" customWidth="1"/>
    <col min="80" max="131" width="0" style="6" hidden="1" customWidth="1"/>
    <col min="132" max="16384" width="9.140625" style="6"/>
  </cols>
  <sheetData>
    <row r="1" spans="1:48" ht="36" x14ac:dyDescent="0.55000000000000004">
      <c r="B1" s="20"/>
      <c r="C1" s="22"/>
      <c r="D1" s="20"/>
      <c r="E1" s="75"/>
      <c r="F1" s="20"/>
      <c r="G1" s="20"/>
      <c r="H1" s="20"/>
      <c r="I1" s="20"/>
      <c r="J1" s="20"/>
      <c r="K1" s="40"/>
      <c r="L1" s="23"/>
      <c r="M1" s="21"/>
      <c r="N1" s="75"/>
      <c r="O1" s="43"/>
      <c r="P1" s="43"/>
      <c r="Q1" s="43"/>
      <c r="R1" s="43"/>
      <c r="S1" s="200" t="s">
        <v>1000</v>
      </c>
      <c r="T1" s="200"/>
      <c r="U1" s="200"/>
      <c r="V1" s="157"/>
      <c r="W1" s="157"/>
      <c r="X1" s="157"/>
    </row>
    <row r="2" spans="1:48" ht="112.5" customHeight="1" x14ac:dyDescent="0.25">
      <c r="B2" s="20"/>
      <c r="C2" s="22"/>
      <c r="D2" s="20"/>
      <c r="E2" s="75"/>
      <c r="F2" s="20"/>
      <c r="G2" s="20"/>
      <c r="H2" s="20"/>
      <c r="I2" s="20"/>
      <c r="J2" s="20"/>
      <c r="K2" s="40"/>
      <c r="L2" s="23"/>
      <c r="M2" s="21"/>
      <c r="N2" s="75"/>
      <c r="O2" s="201" t="s">
        <v>1001</v>
      </c>
      <c r="P2" s="201"/>
      <c r="Q2" s="201"/>
      <c r="R2" s="201"/>
      <c r="S2" s="201"/>
      <c r="T2" s="201"/>
      <c r="U2" s="201"/>
      <c r="V2" s="158"/>
      <c r="W2" s="158"/>
      <c r="X2" s="158"/>
    </row>
    <row r="3" spans="1:48" ht="15" customHeight="1" x14ac:dyDescent="0.25">
      <c r="B3" s="20"/>
      <c r="C3" s="22"/>
      <c r="D3" s="20"/>
      <c r="E3" s="75"/>
      <c r="F3" s="20"/>
      <c r="G3" s="20"/>
      <c r="H3" s="20"/>
      <c r="I3" s="20"/>
      <c r="J3" s="20"/>
      <c r="K3" s="40"/>
      <c r="L3" s="23"/>
      <c r="M3" s="21"/>
      <c r="N3" s="75"/>
      <c r="O3" s="201"/>
      <c r="P3" s="201"/>
      <c r="Q3" s="201"/>
      <c r="R3" s="201"/>
      <c r="S3" s="201"/>
      <c r="T3" s="201"/>
      <c r="U3" s="201"/>
      <c r="V3" s="158"/>
      <c r="W3" s="158"/>
      <c r="X3" s="158"/>
    </row>
    <row r="4" spans="1:48" ht="15" customHeight="1" x14ac:dyDescent="0.25">
      <c r="B4" s="198" t="s">
        <v>1002</v>
      </c>
      <c r="C4" s="198"/>
      <c r="D4" s="198"/>
      <c r="E4" s="198"/>
      <c r="F4" s="198"/>
      <c r="G4" s="198"/>
      <c r="H4" s="198"/>
      <c r="I4" s="198"/>
      <c r="J4" s="198"/>
      <c r="K4" s="198"/>
      <c r="L4" s="199"/>
      <c r="M4" s="198"/>
      <c r="N4" s="198"/>
      <c r="O4" s="198"/>
      <c r="P4" s="198"/>
      <c r="Q4" s="198"/>
      <c r="R4" s="198"/>
      <c r="S4" s="198"/>
      <c r="T4" s="198"/>
      <c r="U4" s="198"/>
      <c r="V4" s="156"/>
      <c r="W4" s="156"/>
      <c r="X4" s="156"/>
    </row>
    <row r="5" spans="1:48" ht="15" customHeight="1" x14ac:dyDescent="0.25"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9"/>
      <c r="M5" s="198"/>
      <c r="N5" s="198"/>
      <c r="O5" s="198"/>
      <c r="P5" s="198"/>
      <c r="Q5" s="198"/>
      <c r="R5" s="198"/>
      <c r="S5" s="198"/>
      <c r="T5" s="198"/>
      <c r="U5" s="198"/>
      <c r="V5" s="156"/>
      <c r="W5" s="156"/>
      <c r="X5" s="156"/>
    </row>
    <row r="6" spans="1:48" ht="159" customHeight="1" x14ac:dyDescent="0.25"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9"/>
      <c r="M6" s="198"/>
      <c r="N6" s="198"/>
      <c r="O6" s="198"/>
      <c r="P6" s="198"/>
      <c r="Q6" s="198"/>
      <c r="R6" s="198"/>
      <c r="S6" s="198"/>
      <c r="T6" s="198"/>
      <c r="U6" s="198"/>
      <c r="V6" s="156"/>
      <c r="W6" s="156"/>
      <c r="X6" s="156"/>
    </row>
    <row r="8" spans="1:48" s="13" customFormat="1" ht="96.75" customHeight="1" x14ac:dyDescent="0.3">
      <c r="B8" s="202" t="s">
        <v>6</v>
      </c>
      <c r="C8" s="202" t="s">
        <v>253</v>
      </c>
      <c r="D8" s="202" t="s">
        <v>254</v>
      </c>
      <c r="E8" s="202"/>
      <c r="F8" s="204" t="s">
        <v>255</v>
      </c>
      <c r="G8" s="204" t="s">
        <v>256</v>
      </c>
      <c r="H8" s="204" t="s">
        <v>257</v>
      </c>
      <c r="I8" s="204" t="s">
        <v>258</v>
      </c>
      <c r="J8" s="202" t="s">
        <v>259</v>
      </c>
      <c r="K8" s="202"/>
      <c r="L8" s="207" t="s">
        <v>1029</v>
      </c>
      <c r="M8" s="209" t="s">
        <v>1031</v>
      </c>
      <c r="N8" s="209" t="s">
        <v>1032</v>
      </c>
      <c r="O8" s="202" t="s">
        <v>260</v>
      </c>
      <c r="P8" s="206" t="s">
        <v>261</v>
      </c>
      <c r="Q8" s="206"/>
      <c r="R8" s="206"/>
      <c r="S8" s="206"/>
      <c r="T8" s="205" t="s">
        <v>262</v>
      </c>
      <c r="U8" s="205" t="s">
        <v>263</v>
      </c>
      <c r="V8" s="179"/>
      <c r="W8" s="179"/>
      <c r="X8" s="179"/>
    </row>
    <row r="9" spans="1:48" s="13" customFormat="1" ht="339.75" customHeight="1" x14ac:dyDescent="0.3">
      <c r="B9" s="202"/>
      <c r="C9" s="202"/>
      <c r="D9" s="204" t="s">
        <v>264</v>
      </c>
      <c r="E9" s="204" t="s">
        <v>265</v>
      </c>
      <c r="F9" s="202"/>
      <c r="G9" s="202"/>
      <c r="H9" s="202"/>
      <c r="I9" s="202"/>
      <c r="J9" s="204" t="s">
        <v>266</v>
      </c>
      <c r="K9" s="204" t="s">
        <v>1030</v>
      </c>
      <c r="L9" s="208"/>
      <c r="M9" s="209"/>
      <c r="N9" s="209"/>
      <c r="O9" s="202"/>
      <c r="P9" s="205" t="s">
        <v>266</v>
      </c>
      <c r="Q9" s="205" t="s">
        <v>267</v>
      </c>
      <c r="R9" s="205" t="s">
        <v>268</v>
      </c>
      <c r="S9" s="205" t="s">
        <v>1033</v>
      </c>
      <c r="T9" s="206"/>
      <c r="U9" s="206"/>
      <c r="V9" s="180"/>
      <c r="W9" s="180"/>
      <c r="X9" s="180"/>
    </row>
    <row r="10" spans="1:48" s="13" customFormat="1" ht="45" customHeight="1" x14ac:dyDescent="0.3"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8"/>
      <c r="M10" s="209"/>
      <c r="N10" s="209"/>
      <c r="O10" s="202"/>
      <c r="P10" s="206"/>
      <c r="Q10" s="205"/>
      <c r="R10" s="205"/>
      <c r="S10" s="205"/>
      <c r="T10" s="206"/>
      <c r="U10" s="206"/>
      <c r="V10" s="180"/>
      <c r="W10" s="180"/>
      <c r="X10" s="180"/>
    </row>
    <row r="11" spans="1:48" s="13" customFormat="1" ht="48" customHeight="1" x14ac:dyDescent="0.3">
      <c r="B11" s="203"/>
      <c r="C11" s="203"/>
      <c r="D11" s="203"/>
      <c r="E11" s="203"/>
      <c r="F11" s="202"/>
      <c r="G11" s="203"/>
      <c r="H11" s="203"/>
      <c r="I11" s="160" t="s">
        <v>38</v>
      </c>
      <c r="J11" s="160" t="s">
        <v>38</v>
      </c>
      <c r="K11" s="160" t="s">
        <v>38</v>
      </c>
      <c r="L11" s="44" t="s">
        <v>269</v>
      </c>
      <c r="M11" s="209"/>
      <c r="N11" s="209"/>
      <c r="O11" s="202"/>
      <c r="P11" s="45" t="s">
        <v>36</v>
      </c>
      <c r="Q11" s="45" t="s">
        <v>36</v>
      </c>
      <c r="R11" s="45" t="s">
        <v>36</v>
      </c>
      <c r="S11" s="45" t="s">
        <v>36</v>
      </c>
      <c r="T11" s="45" t="s">
        <v>270</v>
      </c>
      <c r="U11" s="45" t="s">
        <v>270</v>
      </c>
      <c r="V11" s="181"/>
      <c r="W11" s="181"/>
      <c r="X11" s="181"/>
    </row>
    <row r="12" spans="1:48" s="13" customFormat="1" ht="40.5" customHeight="1" x14ac:dyDescent="0.3">
      <c r="B12" s="160">
        <v>1</v>
      </c>
      <c r="C12" s="160">
        <v>2</v>
      </c>
      <c r="D12" s="160">
        <v>3</v>
      </c>
      <c r="E12" s="160">
        <v>4</v>
      </c>
      <c r="F12" s="160">
        <v>5</v>
      </c>
      <c r="G12" s="160">
        <v>6</v>
      </c>
      <c r="H12" s="160">
        <v>7</v>
      </c>
      <c r="I12" s="160">
        <v>8</v>
      </c>
      <c r="J12" s="160">
        <v>9</v>
      </c>
      <c r="K12" s="160">
        <v>10</v>
      </c>
      <c r="L12" s="44">
        <v>11</v>
      </c>
      <c r="M12" s="160">
        <v>12</v>
      </c>
      <c r="N12" s="160">
        <v>13</v>
      </c>
      <c r="O12" s="159">
        <v>14</v>
      </c>
      <c r="P12" s="160">
        <v>15</v>
      </c>
      <c r="Q12" s="160">
        <v>16</v>
      </c>
      <c r="R12" s="160">
        <v>17</v>
      </c>
      <c r="S12" s="160">
        <v>18</v>
      </c>
      <c r="T12" s="160">
        <v>19</v>
      </c>
      <c r="U12" s="160">
        <v>20</v>
      </c>
      <c r="V12" s="182"/>
      <c r="W12" s="182"/>
      <c r="X12" s="182"/>
    </row>
    <row r="13" spans="1:48" s="64" customFormat="1" ht="36" customHeight="1" x14ac:dyDescent="0.9">
      <c r="A13" s="105"/>
      <c r="B13" s="91" t="s">
        <v>777</v>
      </c>
      <c r="C13" s="170"/>
      <c r="D13" s="126" t="s">
        <v>916</v>
      </c>
      <c r="E13" s="126" t="s">
        <v>916</v>
      </c>
      <c r="F13" s="126" t="s">
        <v>916</v>
      </c>
      <c r="G13" s="126" t="s">
        <v>916</v>
      </c>
      <c r="H13" s="126" t="s">
        <v>916</v>
      </c>
      <c r="I13" s="117">
        <f>I14+I546+I940</f>
        <v>2602932.8600000003</v>
      </c>
      <c r="J13" s="117">
        <f>J14+J546+J940</f>
        <v>2164870.71</v>
      </c>
      <c r="K13" s="117">
        <f>K14+K546+K940</f>
        <v>1925571.1990000007</v>
      </c>
      <c r="L13" s="127">
        <f>L14+L546+L940</f>
        <v>98381</v>
      </c>
      <c r="M13" s="126" t="s">
        <v>916</v>
      </c>
      <c r="N13" s="126" t="s">
        <v>916</v>
      </c>
      <c r="O13" s="124" t="s">
        <v>916</v>
      </c>
      <c r="P13" s="117">
        <f>P14+P546+P940</f>
        <v>3280096040.7600002</v>
      </c>
      <c r="Q13" s="117">
        <f>Q14+Q546+Q940</f>
        <v>0</v>
      </c>
      <c r="R13" s="117">
        <f>R14+R546+R940</f>
        <v>8635654.8399999999</v>
      </c>
      <c r="S13" s="117">
        <f>S14+S546+S940</f>
        <v>3271460385.9200001</v>
      </c>
      <c r="T13" s="118">
        <f>P13/I13</f>
        <v>1260.1539175927878</v>
      </c>
      <c r="U13" s="118">
        <f>MAX(U14:U1212)</f>
        <v>29658.561655716163</v>
      </c>
      <c r="V13" s="183"/>
      <c r="W13" s="183"/>
      <c r="X13" s="183"/>
    </row>
    <row r="14" spans="1:48" s="64" customFormat="1" ht="36" customHeight="1" x14ac:dyDescent="0.9">
      <c r="B14" s="91" t="s">
        <v>778</v>
      </c>
      <c r="C14" s="170"/>
      <c r="D14" s="126" t="s">
        <v>916</v>
      </c>
      <c r="E14" s="126" t="s">
        <v>916</v>
      </c>
      <c r="F14" s="126" t="s">
        <v>916</v>
      </c>
      <c r="G14" s="126" t="s">
        <v>916</v>
      </c>
      <c r="H14" s="126" t="s">
        <v>916</v>
      </c>
      <c r="I14" s="117">
        <f>I15+I116+I149+I190+I224+I231+I259+I267+I274+I279+I281+I284+I290+I296+I298+I316+I334+I341+I345+I348+I352+I356+I358+I374+I377+I379+I381+I386+I389+I391+I396+I398+I405+I407+I409+I415+I417+I422+I430+I436+I439+I449+I453+I455+I457+I459+I461+I463+I469+I481+I490+I492+I494+I500+I502+I504+I507+I509+I511+I518+I520+I523+I525+I534+I540+I544+I451</f>
        <v>1245854.9400000002</v>
      </c>
      <c r="J14" s="117">
        <f>J15+J116+J149+J190+J224+J231+J259+J267+J274+J279+J281+J284+J290+J296+J298+J316+J334+J341+J345+J348+J352+J356+J358+J374+J377+J379+J381+J386+J389+J391+J396+J398+J405+J407+J409+J415+J417+J422+J430+J436+J439+J449+J453+J455+J457+J459+J461+J463+J469+J481+J490+J492+J494+J500+J502+J504+J507+J509+J511+J518+J520+J523+J525+J534+J540+J544+J451</f>
        <v>1013015.7799999999</v>
      </c>
      <c r="K14" s="117">
        <f>K15+K116+K149+K190+K224+K231+K259+K267+K274+K279+K281+K284+K290+K296+K298+K316+K334+K341+K345+K348+K352+K356+K358+K374+K377+K379+K381+K386+K389+K391+K396+K398+K405+K407+K409+K415+K417+K422+K430+K436+K439+K449+K453+K455+K457+K459+K461+K463+K469+K481+K490+K492+K494+K500+K502+K504+K507+K509+K511+K518+K520+K523+K525+K534+K540+K544+K451</f>
        <v>941753.41900000034</v>
      </c>
      <c r="L14" s="127">
        <f>L15+L116+L149+L190+L224+L231+L259+L267+L274+L279+L281+L284+L290+L296+L298+L316+L334+L341+L345+L348+L352+L356+L358+L374+L377+L379+L381+L386+L389+L391+L396+L398+L405+L407+L409+L415+L417+L422+L430+L436+L439+L449+L453+L455+L457+L459+L461+L463+L469+L481+L490+L492+L494+L500+L502+L504+L507+L509+L511+L518+L520+L523+L525+L534+L540+L544+L451</f>
        <v>46147</v>
      </c>
      <c r="M14" s="126" t="s">
        <v>916</v>
      </c>
      <c r="N14" s="126" t="s">
        <v>916</v>
      </c>
      <c r="O14" s="124" t="s">
        <v>916</v>
      </c>
      <c r="P14" s="117">
        <v>1600719184.4000001</v>
      </c>
      <c r="Q14" s="117">
        <f>Q15+Q116+Q149+Q190+Q224+Q231+Q259+Q267+Q274+Q279+Q281+Q284+Q290+Q296+Q298+Q316+Q334+Q341+Q345+Q348+Q352+Q356+Q358+Q374+Q377+Q379+Q381+Q386+Q389+Q391+Q396+Q398+Q405+Q407+Q409+Q415+Q417+Q422+Q430+Q436+Q439+Q449+Q453+Q455+Q457+Q459+Q461+Q463+Q469+Q481+Q490+Q492+Q494+Q500+Q502+Q504+Q507+Q509+Q511+Q518+Q520+Q523+Q525+Q534+Q540+Q544+Q451</f>
        <v>0</v>
      </c>
      <c r="R14" s="117">
        <f>R15+R116+R149+R190+R224+R231+R259+R267+R274+R279+R281+R284+R290+R296+R298+R316+R334+R341+R345+R348+R352+R356+R358+R374+R377+R379+R381+R386+R389+R391+R396+R398+R405+R407+R409+R415+R417+R422+R430+R436+R439+R449+R453+R455+R457+R459+R461+R463+R469+R481+R490+R492+R494+R500+R502+R504+R507+R509+R511+R518+R520+R523+R525+R534+R540+R544+R451</f>
        <v>4260660.97</v>
      </c>
      <c r="S14" s="117">
        <f>S15+S116+S149+S190+S224+S231+S259+S267+S274+S279+S281+S284+S290+S296+S298+S316+S334+S341+S345+S348+S352+S356+S358+S374+S377+S379+S381+S386+S389+S391+S396+S398+S405+S407+S409+S415+S417+S422+S430+S436+S439+S449+S453+S455+S457+S459+S461+S463+S469+S481+S490+S492+S494+S500+S502+S504+S507+S509+S511+S518+S520+S523+S525+S534+S540+S544+S451</f>
        <v>1596458523.4299998</v>
      </c>
      <c r="T14" s="118">
        <f t="shared" ref="T14:T77" si="0">P14/I14</f>
        <v>1284.8359251198217</v>
      </c>
      <c r="U14" s="118">
        <f>MAX(U15:U545)</f>
        <v>29658.561655716163</v>
      </c>
      <c r="V14" s="183"/>
      <c r="W14" s="183"/>
      <c r="X14" s="183"/>
    </row>
    <row r="15" spans="1:48" s="64" customFormat="1" ht="36" customHeight="1" x14ac:dyDescent="0.9">
      <c r="B15" s="91" t="s">
        <v>1119</v>
      </c>
      <c r="C15" s="171"/>
      <c r="D15" s="126" t="s">
        <v>916</v>
      </c>
      <c r="E15" s="126" t="s">
        <v>916</v>
      </c>
      <c r="F15" s="126" t="s">
        <v>916</v>
      </c>
      <c r="G15" s="126" t="s">
        <v>916</v>
      </c>
      <c r="H15" s="126" t="s">
        <v>916</v>
      </c>
      <c r="I15" s="117">
        <f>SUM(I16:I115)</f>
        <v>311542.84999999998</v>
      </c>
      <c r="J15" s="117">
        <f>SUM(J16:J115)</f>
        <v>268875.3000000001</v>
      </c>
      <c r="K15" s="117">
        <f>SUM(K16:K115)</f>
        <v>247963.33999999997</v>
      </c>
      <c r="L15" s="127">
        <f>SUM(L16:L115)</f>
        <v>11864</v>
      </c>
      <c r="M15" s="126" t="s">
        <v>916</v>
      </c>
      <c r="N15" s="126" t="s">
        <v>916</v>
      </c>
      <c r="O15" s="124" t="s">
        <v>916</v>
      </c>
      <c r="P15" s="117">
        <v>330739075.22000003</v>
      </c>
      <c r="Q15" s="117">
        <f>SUM(Q16:Q115)</f>
        <v>0</v>
      </c>
      <c r="R15" s="117">
        <f>SUM(R16:R115)</f>
        <v>0</v>
      </c>
      <c r="S15" s="117">
        <f>SUM(S16:S115)</f>
        <v>330739075.22000003</v>
      </c>
      <c r="T15" s="118">
        <f t="shared" si="0"/>
        <v>1061.6166450939254</v>
      </c>
      <c r="U15" s="118">
        <f>MAX(U16:U115)</f>
        <v>13053.649802012333</v>
      </c>
      <c r="V15" s="183"/>
      <c r="W15" s="183"/>
      <c r="X15" s="183"/>
    </row>
    <row r="16" spans="1:48" s="64" customFormat="1" ht="36" customHeight="1" x14ac:dyDescent="0.9">
      <c r="A16" s="64">
        <v>1</v>
      </c>
      <c r="B16" s="92">
        <f>SUBTOTAL(103,$A16:A$16)</f>
        <v>1</v>
      </c>
      <c r="C16" s="91" t="s">
        <v>490</v>
      </c>
      <c r="D16" s="126">
        <v>1994</v>
      </c>
      <c r="E16" s="126"/>
      <c r="F16" s="145" t="s">
        <v>273</v>
      </c>
      <c r="G16" s="126">
        <v>5</v>
      </c>
      <c r="H16" s="126">
        <v>1</v>
      </c>
      <c r="I16" s="118">
        <v>1202.5999999999999</v>
      </c>
      <c r="J16" s="118">
        <v>621</v>
      </c>
      <c r="K16" s="118">
        <v>532</v>
      </c>
      <c r="L16" s="127">
        <v>52</v>
      </c>
      <c r="M16" s="126" t="s">
        <v>271</v>
      </c>
      <c r="N16" s="126" t="s">
        <v>275</v>
      </c>
      <c r="O16" s="124" t="s">
        <v>1102</v>
      </c>
      <c r="P16" s="118">
        <v>2233840.11</v>
      </c>
      <c r="Q16" s="118">
        <v>0</v>
      </c>
      <c r="R16" s="118">
        <v>0</v>
      </c>
      <c r="S16" s="118">
        <f>P16-Q16-R16</f>
        <v>2233840.11</v>
      </c>
      <c r="T16" s="118">
        <f t="shared" si="0"/>
        <v>1857.5088225511392</v>
      </c>
      <c r="U16" s="118">
        <f>Y16</f>
        <v>1882.34036088475</v>
      </c>
      <c r="V16" s="183">
        <f>U16-T16</f>
        <v>24.831538333610752</v>
      </c>
      <c r="W16" s="183"/>
      <c r="X16" s="183"/>
      <c r="Y16" s="64">
        <f>AA16*5221.8/I16</f>
        <v>1882.34036088475</v>
      </c>
      <c r="AA16" s="64">
        <f>VLOOKUP(C16,AC:AE,2,FALSE)</f>
        <v>433.51</v>
      </c>
      <c r="AC16" s="64" t="s">
        <v>490</v>
      </c>
      <c r="AD16" s="64">
        <v>433.51</v>
      </c>
      <c r="AH16" s="64" t="e">
        <f>VLOOKUP(C16,AJ:AK,2,FALSE)</f>
        <v>#N/A</v>
      </c>
      <c r="AJ16" s="64" t="s">
        <v>494</v>
      </c>
      <c r="AK16" s="64">
        <v>412.3</v>
      </c>
      <c r="AS16" s="64" t="e">
        <f>VLOOKUP(C16,AU:AV,2,FALSE)</f>
        <v>#N/A</v>
      </c>
      <c r="AU16" s="64" t="s">
        <v>491</v>
      </c>
      <c r="AV16" s="64">
        <v>1</v>
      </c>
    </row>
    <row r="17" spans="1:48" s="64" customFormat="1" ht="36" customHeight="1" x14ac:dyDescent="0.9">
      <c r="A17" s="64">
        <v>1</v>
      </c>
      <c r="B17" s="92">
        <f>SUBTOTAL(103,$A$16:A17)</f>
        <v>2</v>
      </c>
      <c r="C17" s="91" t="s">
        <v>1094</v>
      </c>
      <c r="D17" s="126">
        <v>1959</v>
      </c>
      <c r="E17" s="126"/>
      <c r="F17" s="145" t="s">
        <v>273</v>
      </c>
      <c r="G17" s="126">
        <v>2</v>
      </c>
      <c r="H17" s="126">
        <v>2</v>
      </c>
      <c r="I17" s="118">
        <v>648.29999999999995</v>
      </c>
      <c r="J17" s="118">
        <v>389.3</v>
      </c>
      <c r="K17" s="118">
        <v>262.89999999999998</v>
      </c>
      <c r="L17" s="127">
        <v>47</v>
      </c>
      <c r="M17" s="126" t="s">
        <v>271</v>
      </c>
      <c r="N17" s="126" t="s">
        <v>275</v>
      </c>
      <c r="O17" s="124" t="s">
        <v>1102</v>
      </c>
      <c r="P17" s="118">
        <v>2182367.5499999998</v>
      </c>
      <c r="Q17" s="118">
        <v>0</v>
      </c>
      <c r="R17" s="118">
        <v>0</v>
      </c>
      <c r="S17" s="118">
        <f t="shared" ref="S17:S74" si="1">P17-Q17-R17</f>
        <v>2182367.5499999998</v>
      </c>
      <c r="T17" s="118">
        <f t="shared" si="0"/>
        <v>3366.2926885701063</v>
      </c>
      <c r="U17" s="118">
        <f>Y17</f>
        <v>4027.3021749190193</v>
      </c>
      <c r="V17" s="183">
        <f t="shared" ref="V17:V80" si="2">U17-T17</f>
        <v>661.00948634891301</v>
      </c>
      <c r="W17" s="183"/>
      <c r="X17" s="183"/>
      <c r="Y17" s="64">
        <f t="shared" ref="Y17:Y80" si="3">AA17*5221.8/I17</f>
        <v>4027.3021749190193</v>
      </c>
      <c r="AA17" s="64">
        <f t="shared" ref="AA17:AA80" si="4">VLOOKUP(C17,AC:AE,2,FALSE)</f>
        <v>500</v>
      </c>
      <c r="AC17" s="64" t="s">
        <v>1094</v>
      </c>
      <c r="AD17" s="64">
        <v>500</v>
      </c>
      <c r="AH17" s="64" t="e">
        <f t="shared" ref="AH17:AH80" si="5">VLOOKUP(C17,AJ:AK,2,FALSE)</f>
        <v>#N/A</v>
      </c>
      <c r="AJ17" s="64" t="s">
        <v>502</v>
      </c>
      <c r="AK17" s="64">
        <v>370.8</v>
      </c>
      <c r="AS17" s="64" t="e">
        <f t="shared" ref="AS17:AS80" si="6">VLOOKUP(C17,AU:AV,2,FALSE)</f>
        <v>#N/A</v>
      </c>
      <c r="AU17" s="64" t="s">
        <v>505</v>
      </c>
      <c r="AV17" s="64">
        <v>8</v>
      </c>
    </row>
    <row r="18" spans="1:48" s="64" customFormat="1" ht="36" customHeight="1" x14ac:dyDescent="0.9">
      <c r="A18" s="64">
        <v>1</v>
      </c>
      <c r="B18" s="92">
        <f>SUBTOTAL(103,$A$16:A18)</f>
        <v>3</v>
      </c>
      <c r="C18" s="91" t="s">
        <v>491</v>
      </c>
      <c r="D18" s="126">
        <v>1992</v>
      </c>
      <c r="E18" s="126"/>
      <c r="F18" s="145" t="s">
        <v>273</v>
      </c>
      <c r="G18" s="126">
        <v>9</v>
      </c>
      <c r="H18" s="126">
        <v>1</v>
      </c>
      <c r="I18" s="118">
        <v>4744.3</v>
      </c>
      <c r="J18" s="118">
        <v>4654.5</v>
      </c>
      <c r="K18" s="118">
        <v>4462.8</v>
      </c>
      <c r="L18" s="127">
        <v>245</v>
      </c>
      <c r="M18" s="126" t="s">
        <v>271</v>
      </c>
      <c r="N18" s="126" t="s">
        <v>275</v>
      </c>
      <c r="O18" s="124" t="s">
        <v>356</v>
      </c>
      <c r="P18" s="118">
        <v>2146111.33</v>
      </c>
      <c r="Q18" s="118">
        <v>0</v>
      </c>
      <c r="R18" s="118">
        <v>0</v>
      </c>
      <c r="S18" s="118">
        <f t="shared" si="1"/>
        <v>2146111.33</v>
      </c>
      <c r="T18" s="118">
        <f t="shared" si="0"/>
        <v>452.3557384651055</v>
      </c>
      <c r="U18" s="118">
        <f>AR18</f>
        <v>465.27685854604471</v>
      </c>
      <c r="V18" s="183">
        <f t="shared" si="2"/>
        <v>12.921120080939204</v>
      </c>
      <c r="W18" s="183"/>
      <c r="X18" s="183"/>
      <c r="Y18" s="64" t="e">
        <f t="shared" si="3"/>
        <v>#N/A</v>
      </c>
      <c r="AA18" s="64" t="e">
        <f t="shared" si="4"/>
        <v>#N/A</v>
      </c>
      <c r="AC18" s="64" t="s">
        <v>492</v>
      </c>
      <c r="AD18" s="64">
        <v>600</v>
      </c>
      <c r="AH18" s="64" t="e">
        <f t="shared" si="5"/>
        <v>#N/A</v>
      </c>
      <c r="AJ18" s="64" t="s">
        <v>523</v>
      </c>
      <c r="AK18" s="64">
        <v>353.32</v>
      </c>
      <c r="AR18" s="64">
        <f>AS18*2207413/I18</f>
        <v>465.27685854604471</v>
      </c>
      <c r="AS18" s="64">
        <f t="shared" si="6"/>
        <v>1</v>
      </c>
      <c r="AU18" s="64" t="s">
        <v>517</v>
      </c>
      <c r="AV18" s="64">
        <v>7</v>
      </c>
    </row>
    <row r="19" spans="1:48" s="64" customFormat="1" ht="36" customHeight="1" x14ac:dyDescent="0.9">
      <c r="A19" s="64">
        <v>1</v>
      </c>
      <c r="B19" s="92">
        <f>SUBTOTAL(103,$A$16:A19)</f>
        <v>4</v>
      </c>
      <c r="C19" s="91" t="s">
        <v>492</v>
      </c>
      <c r="D19" s="126">
        <v>1984</v>
      </c>
      <c r="E19" s="126"/>
      <c r="F19" s="145" t="s">
        <v>273</v>
      </c>
      <c r="G19" s="126">
        <v>12</v>
      </c>
      <c r="H19" s="126">
        <v>1</v>
      </c>
      <c r="I19" s="118">
        <v>6207</v>
      </c>
      <c r="J19" s="118">
        <v>5105</v>
      </c>
      <c r="K19" s="118">
        <v>4811</v>
      </c>
      <c r="L19" s="127">
        <v>242</v>
      </c>
      <c r="M19" s="126" t="s">
        <v>271</v>
      </c>
      <c r="N19" s="126" t="s">
        <v>275</v>
      </c>
      <c r="O19" s="124" t="s">
        <v>1102</v>
      </c>
      <c r="P19" s="118">
        <v>2530096.7899999996</v>
      </c>
      <c r="Q19" s="118">
        <v>0</v>
      </c>
      <c r="R19" s="118">
        <v>0</v>
      </c>
      <c r="S19" s="118">
        <f t="shared" si="1"/>
        <v>2530096.7899999996</v>
      </c>
      <c r="T19" s="118">
        <f t="shared" si="0"/>
        <v>407.61991139036564</v>
      </c>
      <c r="U19" s="118">
        <f>Y19</f>
        <v>504.76558724021265</v>
      </c>
      <c r="V19" s="183">
        <f t="shared" si="2"/>
        <v>97.145675849847009</v>
      </c>
      <c r="W19" s="183"/>
      <c r="X19" s="183"/>
      <c r="Y19" s="64">
        <f t="shared" si="3"/>
        <v>504.76558724021265</v>
      </c>
      <c r="AA19" s="64">
        <f t="shared" si="4"/>
        <v>600</v>
      </c>
      <c r="AC19" s="64" t="s">
        <v>493</v>
      </c>
      <c r="AD19" s="64">
        <v>790</v>
      </c>
      <c r="AH19" s="64" t="e">
        <f t="shared" si="5"/>
        <v>#N/A</v>
      </c>
      <c r="AJ19" s="64" t="s">
        <v>1405</v>
      </c>
      <c r="AK19" s="64">
        <v>591.9</v>
      </c>
      <c r="AS19" s="64" t="e">
        <f t="shared" si="6"/>
        <v>#N/A</v>
      </c>
      <c r="AU19" s="64" t="s">
        <v>518</v>
      </c>
      <c r="AV19" s="64">
        <v>2</v>
      </c>
    </row>
    <row r="20" spans="1:48" s="64" customFormat="1" ht="36" customHeight="1" x14ac:dyDescent="0.9">
      <c r="A20" s="64">
        <v>1</v>
      </c>
      <c r="B20" s="92">
        <f>SUBTOTAL(103,$A$16:A20)</f>
        <v>5</v>
      </c>
      <c r="C20" s="91" t="s">
        <v>493</v>
      </c>
      <c r="D20" s="126">
        <v>1978</v>
      </c>
      <c r="E20" s="126"/>
      <c r="F20" s="145" t="s">
        <v>319</v>
      </c>
      <c r="G20" s="126">
        <v>9</v>
      </c>
      <c r="H20" s="126">
        <v>2</v>
      </c>
      <c r="I20" s="118">
        <v>4414</v>
      </c>
      <c r="J20" s="118">
        <v>3930.4</v>
      </c>
      <c r="K20" s="118">
        <v>3880.5</v>
      </c>
      <c r="L20" s="127">
        <v>188</v>
      </c>
      <c r="M20" s="126" t="s">
        <v>271</v>
      </c>
      <c r="N20" s="126" t="s">
        <v>275</v>
      </c>
      <c r="O20" s="124" t="s">
        <v>1102</v>
      </c>
      <c r="P20" s="118">
        <v>3268057.98</v>
      </c>
      <c r="Q20" s="118">
        <v>0</v>
      </c>
      <c r="R20" s="118">
        <v>0</v>
      </c>
      <c r="S20" s="118">
        <f t="shared" si="1"/>
        <v>3268057.98</v>
      </c>
      <c r="T20" s="118">
        <f t="shared" si="0"/>
        <v>740.38468056184865</v>
      </c>
      <c r="U20" s="118">
        <f>Y20</f>
        <v>934.57680108744898</v>
      </c>
      <c r="V20" s="183">
        <f t="shared" si="2"/>
        <v>194.19212052560033</v>
      </c>
      <c r="W20" s="183"/>
      <c r="X20" s="183"/>
      <c r="Y20" s="64">
        <f t="shared" si="3"/>
        <v>934.57680108744898</v>
      </c>
      <c r="AA20" s="64">
        <f t="shared" si="4"/>
        <v>790</v>
      </c>
      <c r="AC20" s="64" t="s">
        <v>495</v>
      </c>
      <c r="AD20" s="64">
        <v>557</v>
      </c>
      <c r="AH20" s="64" t="e">
        <f t="shared" si="5"/>
        <v>#N/A</v>
      </c>
      <c r="AJ20" s="64" t="s">
        <v>1124</v>
      </c>
      <c r="AK20" s="64">
        <v>5788.43</v>
      </c>
      <c r="AS20" s="64" t="e">
        <f t="shared" si="6"/>
        <v>#N/A</v>
      </c>
      <c r="AU20" s="64" t="s">
        <v>519</v>
      </c>
      <c r="AV20" s="64">
        <v>1</v>
      </c>
    </row>
    <row r="21" spans="1:48" s="64" customFormat="1" ht="36" customHeight="1" x14ac:dyDescent="0.9">
      <c r="A21" s="64">
        <v>1</v>
      </c>
      <c r="B21" s="92">
        <f>SUBTOTAL(103,$A$16:A21)</f>
        <v>6</v>
      </c>
      <c r="C21" s="91" t="s">
        <v>494</v>
      </c>
      <c r="D21" s="126">
        <v>1957</v>
      </c>
      <c r="E21" s="126"/>
      <c r="F21" s="145" t="s">
        <v>273</v>
      </c>
      <c r="G21" s="126">
        <v>2</v>
      </c>
      <c r="H21" s="126">
        <v>1</v>
      </c>
      <c r="I21" s="118">
        <v>731.7</v>
      </c>
      <c r="J21" s="118">
        <v>435.3</v>
      </c>
      <c r="K21" s="118">
        <v>386</v>
      </c>
      <c r="L21" s="127">
        <v>21</v>
      </c>
      <c r="M21" s="126" t="s">
        <v>271</v>
      </c>
      <c r="N21" s="126" t="s">
        <v>275</v>
      </c>
      <c r="O21" s="124" t="s">
        <v>1352</v>
      </c>
      <c r="P21" s="118">
        <v>1642072.83</v>
      </c>
      <c r="Q21" s="118">
        <v>0</v>
      </c>
      <c r="R21" s="118">
        <v>0</v>
      </c>
      <c r="S21" s="118">
        <f t="shared" si="1"/>
        <v>1642072.83</v>
      </c>
      <c r="T21" s="118">
        <f t="shared" si="0"/>
        <v>2244.1886428864286</v>
      </c>
      <c r="U21" s="118">
        <f>AG21</f>
        <v>5864.1126855042494</v>
      </c>
      <c r="V21" s="183">
        <f t="shared" si="2"/>
        <v>3619.9240426178208</v>
      </c>
      <c r="W21" s="183"/>
      <c r="X21" s="183"/>
      <c r="Y21" s="64" t="e">
        <f t="shared" si="3"/>
        <v>#N/A</v>
      </c>
      <c r="AA21" s="64" t="e">
        <f t="shared" si="4"/>
        <v>#N/A</v>
      </c>
      <c r="AC21" s="64" t="s">
        <v>497</v>
      </c>
      <c r="AD21" s="64">
        <v>604</v>
      </c>
      <c r="AG21" s="64">
        <f>AH21*6191.24/J21</f>
        <v>5864.1126855042494</v>
      </c>
      <c r="AH21" s="64">
        <f t="shared" si="5"/>
        <v>412.3</v>
      </c>
      <c r="AJ21" s="64" t="s">
        <v>1125</v>
      </c>
      <c r="AK21" s="64">
        <v>3852.16</v>
      </c>
      <c r="AS21" s="64" t="e">
        <f t="shared" si="6"/>
        <v>#N/A</v>
      </c>
      <c r="AU21" s="64" t="s">
        <v>520</v>
      </c>
      <c r="AV21" s="64">
        <v>2</v>
      </c>
    </row>
    <row r="22" spans="1:48" s="64" customFormat="1" ht="36" customHeight="1" x14ac:dyDescent="0.9">
      <c r="A22" s="64">
        <v>1</v>
      </c>
      <c r="B22" s="92">
        <f>SUBTOTAL(103,$A$16:A22)</f>
        <v>7</v>
      </c>
      <c r="C22" s="91" t="s">
        <v>495</v>
      </c>
      <c r="D22" s="126">
        <v>1986</v>
      </c>
      <c r="E22" s="126"/>
      <c r="F22" s="145" t="s">
        <v>319</v>
      </c>
      <c r="G22" s="126">
        <v>9</v>
      </c>
      <c r="H22" s="126">
        <v>2</v>
      </c>
      <c r="I22" s="118">
        <v>4945.3999999999996</v>
      </c>
      <c r="J22" s="118">
        <v>3861.7</v>
      </c>
      <c r="K22" s="118">
        <v>3562.6</v>
      </c>
      <c r="L22" s="127">
        <v>203</v>
      </c>
      <c r="M22" s="126" t="s">
        <v>271</v>
      </c>
      <c r="N22" s="126" t="s">
        <v>275</v>
      </c>
      <c r="O22" s="124" t="s">
        <v>1118</v>
      </c>
      <c r="P22" s="118">
        <v>2362920</v>
      </c>
      <c r="Q22" s="118">
        <v>0</v>
      </c>
      <c r="R22" s="118">
        <v>0</v>
      </c>
      <c r="S22" s="118">
        <f t="shared" si="1"/>
        <v>2362920</v>
      </c>
      <c r="T22" s="118">
        <f t="shared" si="0"/>
        <v>477.80159339992724</v>
      </c>
      <c r="U22" s="118">
        <f t="shared" ref="U22:U27" si="7">Y22</f>
        <v>588.13090953209053</v>
      </c>
      <c r="V22" s="183">
        <f t="shared" si="2"/>
        <v>110.32931613216329</v>
      </c>
      <c r="W22" s="183"/>
      <c r="X22" s="183"/>
      <c r="Y22" s="64">
        <f t="shared" si="3"/>
        <v>588.13090953209053</v>
      </c>
      <c r="AA22" s="64">
        <f t="shared" si="4"/>
        <v>557</v>
      </c>
      <c r="AC22" s="64" t="s">
        <v>498</v>
      </c>
      <c r="AD22" s="64">
        <v>591</v>
      </c>
      <c r="AH22" s="64" t="e">
        <f t="shared" si="5"/>
        <v>#N/A</v>
      </c>
      <c r="AJ22" s="64" t="s">
        <v>1129</v>
      </c>
      <c r="AK22" s="64">
        <v>1131.4000000000001</v>
      </c>
      <c r="AS22" s="64" t="e">
        <f t="shared" si="6"/>
        <v>#N/A</v>
      </c>
      <c r="AU22" s="64" t="s">
        <v>524</v>
      </c>
      <c r="AV22" s="64">
        <v>1</v>
      </c>
    </row>
    <row r="23" spans="1:48" s="64" customFormat="1" ht="36" customHeight="1" x14ac:dyDescent="0.9">
      <c r="A23" s="64">
        <v>1</v>
      </c>
      <c r="B23" s="92">
        <f>SUBTOTAL(103,$A$16:A23)</f>
        <v>8</v>
      </c>
      <c r="C23" s="91" t="s">
        <v>497</v>
      </c>
      <c r="D23" s="126">
        <v>1955</v>
      </c>
      <c r="E23" s="126"/>
      <c r="F23" s="145" t="s">
        <v>273</v>
      </c>
      <c r="G23" s="126">
        <v>3</v>
      </c>
      <c r="H23" s="126">
        <v>2</v>
      </c>
      <c r="I23" s="118">
        <v>1208.2</v>
      </c>
      <c r="J23" s="118">
        <v>1108.2</v>
      </c>
      <c r="K23" s="118">
        <v>1058.5999999999999</v>
      </c>
      <c r="L23" s="127">
        <v>52</v>
      </c>
      <c r="M23" s="126" t="s">
        <v>271</v>
      </c>
      <c r="N23" s="126" t="s">
        <v>275</v>
      </c>
      <c r="O23" s="124" t="s">
        <v>1428</v>
      </c>
      <c r="P23" s="118">
        <v>2869408.97</v>
      </c>
      <c r="Q23" s="118">
        <v>0</v>
      </c>
      <c r="R23" s="118">
        <v>0</v>
      </c>
      <c r="S23" s="118">
        <f t="shared" si="1"/>
        <v>2869408.97</v>
      </c>
      <c r="T23" s="118">
        <f t="shared" si="0"/>
        <v>2374.9453484522433</v>
      </c>
      <c r="U23" s="118">
        <f t="shared" si="7"/>
        <v>2610.4678033438172</v>
      </c>
      <c r="V23" s="183">
        <f t="shared" si="2"/>
        <v>235.52245489157394</v>
      </c>
      <c r="W23" s="183"/>
      <c r="X23" s="183"/>
      <c r="Y23" s="64">
        <f t="shared" si="3"/>
        <v>2610.4678033438172</v>
      </c>
      <c r="AA23" s="64">
        <f t="shared" si="4"/>
        <v>604</v>
      </c>
      <c r="AC23" s="64" t="s">
        <v>499</v>
      </c>
      <c r="AD23" s="64">
        <v>612</v>
      </c>
      <c r="AH23" s="64" t="e">
        <f t="shared" si="5"/>
        <v>#N/A</v>
      </c>
      <c r="AJ23" s="64" t="s">
        <v>1135</v>
      </c>
      <c r="AK23" s="64">
        <v>1343.2</v>
      </c>
      <c r="AS23" s="64" t="e">
        <f t="shared" si="6"/>
        <v>#N/A</v>
      </c>
      <c r="AU23" s="64" t="s">
        <v>1123</v>
      </c>
      <c r="AV23" s="64">
        <v>3</v>
      </c>
    </row>
    <row r="24" spans="1:48" s="64" customFormat="1" ht="36" customHeight="1" x14ac:dyDescent="0.9">
      <c r="A24" s="64">
        <v>1</v>
      </c>
      <c r="B24" s="92">
        <f>SUBTOTAL(103,$A$16:A24)</f>
        <v>9</v>
      </c>
      <c r="C24" s="91" t="s">
        <v>498</v>
      </c>
      <c r="D24" s="126">
        <v>1990</v>
      </c>
      <c r="E24" s="126"/>
      <c r="F24" s="145" t="s">
        <v>273</v>
      </c>
      <c r="G24" s="126">
        <v>3</v>
      </c>
      <c r="H24" s="126">
        <v>1</v>
      </c>
      <c r="I24" s="118">
        <v>620.29999999999995</v>
      </c>
      <c r="J24" s="118">
        <v>538.5</v>
      </c>
      <c r="K24" s="118">
        <v>538.5</v>
      </c>
      <c r="L24" s="127">
        <v>23</v>
      </c>
      <c r="M24" s="126" t="s">
        <v>271</v>
      </c>
      <c r="N24" s="126" t="s">
        <v>275</v>
      </c>
      <c r="O24" s="124" t="s">
        <v>357</v>
      </c>
      <c r="P24" s="118">
        <v>2054325</v>
      </c>
      <c r="Q24" s="118">
        <v>0</v>
      </c>
      <c r="R24" s="118">
        <v>0</v>
      </c>
      <c r="S24" s="118">
        <f t="shared" si="1"/>
        <v>2054325</v>
      </c>
      <c r="T24" s="118">
        <f t="shared" si="0"/>
        <v>3311.8249234241498</v>
      </c>
      <c r="U24" s="118">
        <f t="shared" si="7"/>
        <v>4975.1471868450753</v>
      </c>
      <c r="V24" s="183">
        <f t="shared" si="2"/>
        <v>1663.3222634209255</v>
      </c>
      <c r="W24" s="183"/>
      <c r="X24" s="183"/>
      <c r="Y24" s="64">
        <f t="shared" si="3"/>
        <v>4975.1471868450753</v>
      </c>
      <c r="AA24" s="64">
        <f t="shared" si="4"/>
        <v>591</v>
      </c>
      <c r="AC24" s="64" t="s">
        <v>500</v>
      </c>
      <c r="AD24" s="64">
        <v>1248.2</v>
      </c>
      <c r="AH24" s="64" t="e">
        <f t="shared" si="5"/>
        <v>#N/A</v>
      </c>
      <c r="AJ24" s="64" t="s">
        <v>1137</v>
      </c>
      <c r="AK24" s="64">
        <v>494.5</v>
      </c>
      <c r="AS24" s="64" t="e">
        <f t="shared" si="6"/>
        <v>#N/A</v>
      </c>
      <c r="AU24" s="64" t="s">
        <v>1142</v>
      </c>
      <c r="AV24" s="64">
        <v>2</v>
      </c>
    </row>
    <row r="25" spans="1:48" s="64" customFormat="1" ht="36" customHeight="1" x14ac:dyDescent="0.9">
      <c r="A25" s="64">
        <v>1</v>
      </c>
      <c r="B25" s="92">
        <f>SUBTOTAL(103,$A$16:A25)</f>
        <v>10</v>
      </c>
      <c r="C25" s="91" t="s">
        <v>499</v>
      </c>
      <c r="D25" s="126">
        <v>1989</v>
      </c>
      <c r="E25" s="126"/>
      <c r="F25" s="145" t="s">
        <v>273</v>
      </c>
      <c r="G25" s="126">
        <v>5</v>
      </c>
      <c r="H25" s="126">
        <v>3</v>
      </c>
      <c r="I25" s="118">
        <v>2454.8000000000002</v>
      </c>
      <c r="J25" s="118">
        <v>1749.7</v>
      </c>
      <c r="K25" s="118">
        <v>1749.7</v>
      </c>
      <c r="L25" s="127">
        <v>61</v>
      </c>
      <c r="M25" s="126" t="s">
        <v>271</v>
      </c>
      <c r="N25" s="126" t="s">
        <v>275</v>
      </c>
      <c r="O25" s="124" t="s">
        <v>1413</v>
      </c>
      <c r="P25" s="118">
        <v>2575132.3800000004</v>
      </c>
      <c r="Q25" s="118">
        <v>0</v>
      </c>
      <c r="R25" s="118">
        <v>0</v>
      </c>
      <c r="S25" s="118">
        <f t="shared" si="1"/>
        <v>2575132.3800000004</v>
      </c>
      <c r="T25" s="118">
        <f t="shared" si="0"/>
        <v>1049.0192194883493</v>
      </c>
      <c r="U25" s="118">
        <f t="shared" si="7"/>
        <v>1301.8337950138502</v>
      </c>
      <c r="V25" s="183">
        <f t="shared" si="2"/>
        <v>252.81457552550091</v>
      </c>
      <c r="W25" s="183"/>
      <c r="X25" s="183"/>
      <c r="Y25" s="64">
        <f t="shared" si="3"/>
        <v>1301.8337950138502</v>
      </c>
      <c r="AA25" s="64">
        <f t="shared" si="4"/>
        <v>612</v>
      </c>
      <c r="AC25" s="64" t="s">
        <v>501</v>
      </c>
      <c r="AD25" s="64">
        <v>947.4</v>
      </c>
      <c r="AH25" s="64" t="e">
        <f t="shared" si="5"/>
        <v>#N/A</v>
      </c>
      <c r="AJ25" s="64" t="s">
        <v>1153</v>
      </c>
      <c r="AK25" s="64">
        <v>820</v>
      </c>
      <c r="AS25" s="64" t="e">
        <f t="shared" si="6"/>
        <v>#N/A</v>
      </c>
      <c r="AU25" s="64" t="s">
        <v>1143</v>
      </c>
      <c r="AV25" s="64">
        <v>2</v>
      </c>
    </row>
    <row r="26" spans="1:48" s="64" customFormat="1" ht="36" customHeight="1" x14ac:dyDescent="0.9">
      <c r="A26" s="64">
        <v>1</v>
      </c>
      <c r="B26" s="92">
        <f>SUBTOTAL(103,$A$16:A26)</f>
        <v>11</v>
      </c>
      <c r="C26" s="91" t="s">
        <v>500</v>
      </c>
      <c r="D26" s="126">
        <v>1995</v>
      </c>
      <c r="E26" s="126"/>
      <c r="F26" s="145" t="s">
        <v>273</v>
      </c>
      <c r="G26" s="126">
        <v>9</v>
      </c>
      <c r="H26" s="126">
        <v>1</v>
      </c>
      <c r="I26" s="118">
        <v>5292.9</v>
      </c>
      <c r="J26" s="118">
        <v>4340.07</v>
      </c>
      <c r="K26" s="118">
        <v>3967.77</v>
      </c>
      <c r="L26" s="127">
        <v>182</v>
      </c>
      <c r="M26" s="126" t="s">
        <v>271</v>
      </c>
      <c r="N26" s="126" t="s">
        <v>275</v>
      </c>
      <c r="O26" s="124" t="s">
        <v>1426</v>
      </c>
      <c r="P26" s="118">
        <v>3274095.59</v>
      </c>
      <c r="Q26" s="118">
        <v>0</v>
      </c>
      <c r="R26" s="118">
        <v>0</v>
      </c>
      <c r="S26" s="118">
        <f t="shared" si="1"/>
        <v>3274095.59</v>
      </c>
      <c r="T26" s="118">
        <f t="shared" si="0"/>
        <v>618.58255209809374</v>
      </c>
      <c r="U26" s="118">
        <f t="shared" si="7"/>
        <v>1231.4328175480362</v>
      </c>
      <c r="V26" s="183">
        <f t="shared" si="2"/>
        <v>612.85026544994241</v>
      </c>
      <c r="W26" s="183"/>
      <c r="X26" s="183"/>
      <c r="Y26" s="64">
        <f t="shared" si="3"/>
        <v>1231.4328175480362</v>
      </c>
      <c r="AA26" s="64">
        <f t="shared" si="4"/>
        <v>1248.2</v>
      </c>
      <c r="AC26" s="64" t="s">
        <v>503</v>
      </c>
      <c r="AD26" s="64">
        <v>630</v>
      </c>
      <c r="AH26" s="64" t="e">
        <f t="shared" si="5"/>
        <v>#N/A</v>
      </c>
      <c r="AJ26" s="64" t="s">
        <v>1154</v>
      </c>
      <c r="AK26" s="64">
        <v>511</v>
      </c>
      <c r="AS26" s="64" t="e">
        <f t="shared" si="6"/>
        <v>#N/A</v>
      </c>
      <c r="AU26" s="64" t="s">
        <v>1664</v>
      </c>
      <c r="AV26" s="64">
        <v>1</v>
      </c>
    </row>
    <row r="27" spans="1:48" s="64" customFormat="1" ht="36" customHeight="1" x14ac:dyDescent="0.9">
      <c r="A27" s="64">
        <v>1</v>
      </c>
      <c r="B27" s="92">
        <f>SUBTOTAL(103,$A$16:A27)</f>
        <v>12</v>
      </c>
      <c r="C27" s="91" t="s">
        <v>501</v>
      </c>
      <c r="D27" s="126">
        <v>1962</v>
      </c>
      <c r="E27" s="126"/>
      <c r="F27" s="145" t="s">
        <v>273</v>
      </c>
      <c r="G27" s="126">
        <v>3</v>
      </c>
      <c r="H27" s="126">
        <v>3</v>
      </c>
      <c r="I27" s="118">
        <v>2721.6</v>
      </c>
      <c r="J27" s="118">
        <v>1752.6</v>
      </c>
      <c r="K27" s="118">
        <v>1482.9</v>
      </c>
      <c r="L27" s="127">
        <v>80</v>
      </c>
      <c r="M27" s="126" t="s">
        <v>271</v>
      </c>
      <c r="N27" s="126" t="s">
        <v>275</v>
      </c>
      <c r="O27" s="124" t="s">
        <v>1352</v>
      </c>
      <c r="P27" s="118">
        <v>3988187.17</v>
      </c>
      <c r="Q27" s="118">
        <v>0</v>
      </c>
      <c r="R27" s="118">
        <v>0</v>
      </c>
      <c r="S27" s="118">
        <f t="shared" si="1"/>
        <v>3988187.17</v>
      </c>
      <c r="T27" s="118">
        <f t="shared" si="0"/>
        <v>1465.3832929159319</v>
      </c>
      <c r="U27" s="118">
        <f t="shared" si="7"/>
        <v>1817.729761904762</v>
      </c>
      <c r="V27" s="183">
        <f t="shared" si="2"/>
        <v>352.34646898883011</v>
      </c>
      <c r="W27" s="183"/>
      <c r="X27" s="183"/>
      <c r="Y27" s="64">
        <f t="shared" si="3"/>
        <v>1817.729761904762</v>
      </c>
      <c r="AA27" s="64">
        <f t="shared" si="4"/>
        <v>947.4</v>
      </c>
      <c r="AC27" s="64" t="s">
        <v>504</v>
      </c>
      <c r="AD27" s="64">
        <v>1199</v>
      </c>
      <c r="AH27" s="64" t="e">
        <f t="shared" si="5"/>
        <v>#N/A</v>
      </c>
      <c r="AJ27" s="64" t="s">
        <v>1155</v>
      </c>
      <c r="AK27" s="64">
        <v>515.73</v>
      </c>
      <c r="AS27" s="64" t="e">
        <f t="shared" si="6"/>
        <v>#N/A</v>
      </c>
      <c r="AU27" s="64" t="s">
        <v>1175</v>
      </c>
      <c r="AV27" s="64">
        <v>4</v>
      </c>
    </row>
    <row r="28" spans="1:48" s="64" customFormat="1" ht="36" customHeight="1" x14ac:dyDescent="0.9">
      <c r="A28" s="64">
        <v>1</v>
      </c>
      <c r="B28" s="92">
        <f>SUBTOTAL(103,$A$16:A28)</f>
        <v>13</v>
      </c>
      <c r="C28" s="91" t="s">
        <v>502</v>
      </c>
      <c r="D28" s="126">
        <v>1957</v>
      </c>
      <c r="E28" s="126"/>
      <c r="F28" s="145" t="s">
        <v>273</v>
      </c>
      <c r="G28" s="126">
        <v>2</v>
      </c>
      <c r="H28" s="126">
        <v>1</v>
      </c>
      <c r="I28" s="118">
        <v>718.3</v>
      </c>
      <c r="J28" s="118">
        <v>408.3</v>
      </c>
      <c r="K28" s="118">
        <v>408.3</v>
      </c>
      <c r="L28" s="127">
        <v>22</v>
      </c>
      <c r="M28" s="126" t="s">
        <v>271</v>
      </c>
      <c r="N28" s="126" t="s">
        <v>275</v>
      </c>
      <c r="O28" s="124" t="s">
        <v>1352</v>
      </c>
      <c r="P28" s="118">
        <v>1785060.8199999998</v>
      </c>
      <c r="Q28" s="118">
        <v>0</v>
      </c>
      <c r="R28" s="118">
        <v>0</v>
      </c>
      <c r="S28" s="118">
        <f t="shared" si="1"/>
        <v>1785060.8199999998</v>
      </c>
      <c r="T28" s="118">
        <f t="shared" si="0"/>
        <v>2485.1187804538495</v>
      </c>
      <c r="U28" s="118">
        <f>AG28</f>
        <v>5622.6103159441582</v>
      </c>
      <c r="V28" s="183">
        <f t="shared" si="2"/>
        <v>3137.4915354903087</v>
      </c>
      <c r="W28" s="183"/>
      <c r="X28" s="183"/>
      <c r="Y28" s="64" t="e">
        <f t="shared" si="3"/>
        <v>#N/A</v>
      </c>
      <c r="AA28" s="64" t="e">
        <f t="shared" si="4"/>
        <v>#N/A</v>
      </c>
      <c r="AC28" s="64" t="s">
        <v>506</v>
      </c>
      <c r="AD28" s="64">
        <v>237</v>
      </c>
      <c r="AG28" s="64">
        <f>AH28*6191.24/J28</f>
        <v>5622.6103159441582</v>
      </c>
      <c r="AH28" s="64">
        <f t="shared" si="5"/>
        <v>370.8</v>
      </c>
      <c r="AJ28" s="64" t="s">
        <v>1156</v>
      </c>
      <c r="AK28" s="64">
        <v>1522.8</v>
      </c>
      <c r="AS28" s="64" t="e">
        <f t="shared" si="6"/>
        <v>#N/A</v>
      </c>
      <c r="AU28" s="64" t="s">
        <v>401</v>
      </c>
      <c r="AV28" s="64">
        <v>3</v>
      </c>
    </row>
    <row r="29" spans="1:48" s="64" customFormat="1" ht="36" customHeight="1" x14ac:dyDescent="0.9">
      <c r="A29" s="64">
        <v>1</v>
      </c>
      <c r="B29" s="92">
        <f>SUBTOTAL(103,$A$16:A29)</f>
        <v>14</v>
      </c>
      <c r="C29" s="91" t="s">
        <v>503</v>
      </c>
      <c r="D29" s="126">
        <v>1994</v>
      </c>
      <c r="E29" s="126"/>
      <c r="F29" s="145" t="s">
        <v>273</v>
      </c>
      <c r="G29" s="126">
        <v>6</v>
      </c>
      <c r="H29" s="126">
        <v>4</v>
      </c>
      <c r="I29" s="118">
        <v>3744.6</v>
      </c>
      <c r="J29" s="118">
        <v>2905.1</v>
      </c>
      <c r="K29" s="118">
        <v>2782.1</v>
      </c>
      <c r="L29" s="127">
        <v>138</v>
      </c>
      <c r="M29" s="126" t="s">
        <v>271</v>
      </c>
      <c r="N29" s="126" t="s">
        <v>275</v>
      </c>
      <c r="O29" s="124" t="s">
        <v>1118</v>
      </c>
      <c r="P29" s="118">
        <v>2689750</v>
      </c>
      <c r="Q29" s="118">
        <v>0</v>
      </c>
      <c r="R29" s="118">
        <v>0</v>
      </c>
      <c r="S29" s="118">
        <f t="shared" si="1"/>
        <v>2689750</v>
      </c>
      <c r="T29" s="118">
        <f t="shared" si="0"/>
        <v>718.30102013566204</v>
      </c>
      <c r="U29" s="118">
        <f>Y29</f>
        <v>878.5274795705817</v>
      </c>
      <c r="V29" s="183">
        <f t="shared" si="2"/>
        <v>160.22645943491966</v>
      </c>
      <c r="W29" s="183"/>
      <c r="X29" s="183"/>
      <c r="Y29" s="64">
        <f t="shared" si="3"/>
        <v>878.5274795705817</v>
      </c>
      <c r="AA29" s="64">
        <f t="shared" si="4"/>
        <v>630</v>
      </c>
      <c r="AC29" s="64" t="s">
        <v>507</v>
      </c>
      <c r="AD29" s="64">
        <v>1020</v>
      </c>
      <c r="AH29" s="64" t="e">
        <f t="shared" si="5"/>
        <v>#N/A</v>
      </c>
      <c r="AJ29" s="64" t="s">
        <v>1158</v>
      </c>
      <c r="AK29" s="64">
        <v>649.6</v>
      </c>
      <c r="AS29" s="64" t="e">
        <f t="shared" si="6"/>
        <v>#N/A</v>
      </c>
      <c r="AU29" s="64" t="s">
        <v>403</v>
      </c>
      <c r="AV29" s="64">
        <v>3</v>
      </c>
    </row>
    <row r="30" spans="1:48" s="64" customFormat="1" ht="36" customHeight="1" x14ac:dyDescent="0.9">
      <c r="A30" s="64">
        <v>1</v>
      </c>
      <c r="B30" s="92">
        <f>SUBTOTAL(103,$A$16:A30)</f>
        <v>15</v>
      </c>
      <c r="C30" s="91" t="s">
        <v>504</v>
      </c>
      <c r="D30" s="126">
        <v>1993</v>
      </c>
      <c r="E30" s="126"/>
      <c r="F30" s="145" t="s">
        <v>273</v>
      </c>
      <c r="G30" s="126">
        <v>9</v>
      </c>
      <c r="H30" s="126">
        <v>3</v>
      </c>
      <c r="I30" s="118">
        <v>6478</v>
      </c>
      <c r="J30" s="118">
        <v>6359.39</v>
      </c>
      <c r="K30" s="118">
        <v>5823.79</v>
      </c>
      <c r="L30" s="127">
        <v>108</v>
      </c>
      <c r="M30" s="126" t="s">
        <v>271</v>
      </c>
      <c r="N30" s="126" t="s">
        <v>275</v>
      </c>
      <c r="O30" s="124" t="s">
        <v>356</v>
      </c>
      <c r="P30" s="118">
        <v>3621937.8699999996</v>
      </c>
      <c r="Q30" s="118">
        <v>0</v>
      </c>
      <c r="R30" s="118">
        <v>0</v>
      </c>
      <c r="S30" s="118">
        <f t="shared" si="1"/>
        <v>3621937.8699999996</v>
      </c>
      <c r="T30" s="118">
        <f t="shared" si="0"/>
        <v>559.11359524544605</v>
      </c>
      <c r="U30" s="118">
        <f>Y30</f>
        <v>966.49246681074408</v>
      </c>
      <c r="V30" s="183">
        <f t="shared" si="2"/>
        <v>407.37887156529803</v>
      </c>
      <c r="W30" s="183"/>
      <c r="X30" s="183"/>
      <c r="Y30" s="64">
        <f t="shared" si="3"/>
        <v>966.49246681074408</v>
      </c>
      <c r="AA30" s="64">
        <f t="shared" si="4"/>
        <v>1199</v>
      </c>
      <c r="AC30" s="64" t="s">
        <v>508</v>
      </c>
      <c r="AD30" s="64">
        <v>350</v>
      </c>
      <c r="AH30" s="64" t="e">
        <f t="shared" si="5"/>
        <v>#N/A</v>
      </c>
      <c r="AJ30" s="64" t="s">
        <v>1163</v>
      </c>
      <c r="AK30" s="64">
        <v>590</v>
      </c>
      <c r="AS30" s="64" t="e">
        <f t="shared" si="6"/>
        <v>#N/A</v>
      </c>
      <c r="AU30" s="64" t="s">
        <v>1183</v>
      </c>
      <c r="AV30" s="64">
        <v>2</v>
      </c>
    </row>
    <row r="31" spans="1:48" s="64" customFormat="1" ht="36" customHeight="1" x14ac:dyDescent="0.9">
      <c r="A31" s="64">
        <v>1</v>
      </c>
      <c r="B31" s="92">
        <f>SUBTOTAL(103,$A$16:A31)</f>
        <v>16</v>
      </c>
      <c r="C31" s="91" t="s">
        <v>505</v>
      </c>
      <c r="D31" s="126">
        <v>1992</v>
      </c>
      <c r="E31" s="126"/>
      <c r="F31" s="145" t="s">
        <v>319</v>
      </c>
      <c r="G31" s="126">
        <v>9</v>
      </c>
      <c r="H31" s="126">
        <v>8</v>
      </c>
      <c r="I31" s="118">
        <v>14555.58</v>
      </c>
      <c r="J31" s="118">
        <v>14455.58</v>
      </c>
      <c r="K31" s="118">
        <v>13861.18</v>
      </c>
      <c r="L31" s="127">
        <v>704</v>
      </c>
      <c r="M31" s="126" t="s">
        <v>271</v>
      </c>
      <c r="N31" s="126" t="s">
        <v>275</v>
      </c>
      <c r="O31" s="124" t="s">
        <v>356</v>
      </c>
      <c r="P31" s="118">
        <v>17545640</v>
      </c>
      <c r="Q31" s="118">
        <v>0</v>
      </c>
      <c r="R31" s="118">
        <v>0</v>
      </c>
      <c r="S31" s="118">
        <f t="shared" si="1"/>
        <v>17545640</v>
      </c>
      <c r="T31" s="118">
        <f t="shared" si="0"/>
        <v>1205.4236244794092</v>
      </c>
      <c r="U31" s="118">
        <f>AR31</f>
        <v>1213.2325884643553</v>
      </c>
      <c r="V31" s="183">
        <f t="shared" si="2"/>
        <v>7.8089639849461037</v>
      </c>
      <c r="W31" s="183"/>
      <c r="X31" s="183"/>
      <c r="Y31" s="64" t="e">
        <f t="shared" si="3"/>
        <v>#N/A</v>
      </c>
      <c r="AA31" s="64" t="e">
        <f t="shared" si="4"/>
        <v>#N/A</v>
      </c>
      <c r="AC31" s="64" t="s">
        <v>509</v>
      </c>
      <c r="AD31" s="64">
        <v>900</v>
      </c>
      <c r="AH31" s="64" t="e">
        <f t="shared" si="5"/>
        <v>#N/A</v>
      </c>
      <c r="AJ31" s="64" t="s">
        <v>1164</v>
      </c>
      <c r="AK31" s="64">
        <v>450.1</v>
      </c>
      <c r="AR31" s="64">
        <f>AS31*2207413/I31</f>
        <v>1213.2325884643553</v>
      </c>
      <c r="AS31" s="64">
        <f t="shared" si="6"/>
        <v>8</v>
      </c>
      <c r="AU31" s="64" t="s">
        <v>1186</v>
      </c>
      <c r="AV31" s="64">
        <v>2</v>
      </c>
    </row>
    <row r="32" spans="1:48" s="64" customFormat="1" ht="36" customHeight="1" x14ac:dyDescent="0.9">
      <c r="A32" s="64">
        <v>1</v>
      </c>
      <c r="B32" s="92">
        <f>SUBTOTAL(103,$A$16:A32)</f>
        <v>17</v>
      </c>
      <c r="C32" s="91" t="s">
        <v>506</v>
      </c>
      <c r="D32" s="126">
        <v>1978</v>
      </c>
      <c r="E32" s="126"/>
      <c r="F32" s="145" t="s">
        <v>273</v>
      </c>
      <c r="G32" s="126">
        <v>5</v>
      </c>
      <c r="H32" s="126">
        <v>1</v>
      </c>
      <c r="I32" s="118">
        <v>985.3</v>
      </c>
      <c r="J32" s="118">
        <v>777.2</v>
      </c>
      <c r="K32" s="118">
        <v>724.1</v>
      </c>
      <c r="L32" s="127">
        <v>33</v>
      </c>
      <c r="M32" s="126" t="s">
        <v>271</v>
      </c>
      <c r="N32" s="126" t="s">
        <v>275</v>
      </c>
      <c r="O32" s="124" t="s">
        <v>356</v>
      </c>
      <c r="P32" s="118">
        <v>862750</v>
      </c>
      <c r="Q32" s="118">
        <v>0</v>
      </c>
      <c r="R32" s="118">
        <v>0</v>
      </c>
      <c r="S32" s="118">
        <f t="shared" si="1"/>
        <v>862750</v>
      </c>
      <c r="T32" s="118">
        <f t="shared" si="0"/>
        <v>875.62163807977265</v>
      </c>
      <c r="U32" s="118">
        <f t="shared" ref="U32:U38" si="8">Y32</f>
        <v>1256.0302445955549</v>
      </c>
      <c r="V32" s="183">
        <f t="shared" si="2"/>
        <v>380.40860651578225</v>
      </c>
      <c r="W32" s="183"/>
      <c r="X32" s="183"/>
      <c r="Y32" s="64">
        <f t="shared" si="3"/>
        <v>1256.0302445955549</v>
      </c>
      <c r="AA32" s="64">
        <f t="shared" si="4"/>
        <v>237</v>
      </c>
      <c r="AC32" s="64" t="s">
        <v>511</v>
      </c>
      <c r="AD32" s="64">
        <v>1058.4000000000001</v>
      </c>
      <c r="AH32" s="64" t="e">
        <f t="shared" si="5"/>
        <v>#N/A</v>
      </c>
      <c r="AJ32" s="64" t="s">
        <v>1639</v>
      </c>
      <c r="AK32" s="64">
        <v>975.92</v>
      </c>
      <c r="AS32" s="64" t="e">
        <f t="shared" si="6"/>
        <v>#N/A</v>
      </c>
      <c r="AU32" s="64" t="s">
        <v>1191</v>
      </c>
      <c r="AV32" s="64">
        <v>1</v>
      </c>
    </row>
    <row r="33" spans="1:48" s="64" customFormat="1" ht="36" customHeight="1" x14ac:dyDescent="0.9">
      <c r="A33" s="64">
        <v>1</v>
      </c>
      <c r="B33" s="92">
        <f>SUBTOTAL(103,$A$16:A33)</f>
        <v>18</v>
      </c>
      <c r="C33" s="91" t="s">
        <v>507</v>
      </c>
      <c r="D33" s="126">
        <v>1995</v>
      </c>
      <c r="E33" s="126"/>
      <c r="F33" s="145" t="s">
        <v>273</v>
      </c>
      <c r="G33" s="126">
        <v>9</v>
      </c>
      <c r="H33" s="126">
        <v>1</v>
      </c>
      <c r="I33" s="118">
        <v>6177</v>
      </c>
      <c r="J33" s="118">
        <v>4705.1000000000004</v>
      </c>
      <c r="K33" s="118">
        <v>4212.5</v>
      </c>
      <c r="L33" s="127">
        <v>299</v>
      </c>
      <c r="M33" s="126" t="s">
        <v>271</v>
      </c>
      <c r="N33" s="126" t="s">
        <v>275</v>
      </c>
      <c r="O33" s="124" t="s">
        <v>1102</v>
      </c>
      <c r="P33" s="118">
        <v>4696932.55</v>
      </c>
      <c r="Q33" s="118">
        <v>0</v>
      </c>
      <c r="R33" s="118">
        <v>0</v>
      </c>
      <c r="S33" s="118">
        <f t="shared" si="1"/>
        <v>4696932.55</v>
      </c>
      <c r="T33" s="118">
        <f t="shared" si="0"/>
        <v>760.39056985591708</v>
      </c>
      <c r="U33" s="118">
        <f t="shared" si="8"/>
        <v>862.26906265177274</v>
      </c>
      <c r="V33" s="183">
        <f t="shared" si="2"/>
        <v>101.87849279585566</v>
      </c>
      <c r="W33" s="183"/>
      <c r="X33" s="183"/>
      <c r="Y33" s="64">
        <f t="shared" si="3"/>
        <v>862.26906265177274</v>
      </c>
      <c r="AA33" s="64">
        <f t="shared" si="4"/>
        <v>1020</v>
      </c>
      <c r="AC33" s="64" t="s">
        <v>1680</v>
      </c>
      <c r="AD33" s="64">
        <v>574.01</v>
      </c>
      <c r="AH33" s="64" t="e">
        <f t="shared" si="5"/>
        <v>#N/A</v>
      </c>
      <c r="AJ33" s="64" t="s">
        <v>1641</v>
      </c>
      <c r="AK33" s="64">
        <v>641</v>
      </c>
      <c r="AR33" s="64">
        <f>AS33*2207413/I33</f>
        <v>357.36004532944793</v>
      </c>
      <c r="AS33" s="64">
        <f t="shared" si="6"/>
        <v>1</v>
      </c>
      <c r="AU33" s="64" t="s">
        <v>1192</v>
      </c>
      <c r="AV33" s="64">
        <v>1</v>
      </c>
    </row>
    <row r="34" spans="1:48" s="64" customFormat="1" ht="36" customHeight="1" x14ac:dyDescent="0.9">
      <c r="A34" s="64">
        <v>1</v>
      </c>
      <c r="B34" s="92">
        <f>SUBTOTAL(103,$A$16:A34)</f>
        <v>19</v>
      </c>
      <c r="C34" s="91" t="s">
        <v>508</v>
      </c>
      <c r="D34" s="126">
        <v>1988</v>
      </c>
      <c r="E34" s="126"/>
      <c r="F34" s="145" t="s">
        <v>273</v>
      </c>
      <c r="G34" s="126">
        <v>5</v>
      </c>
      <c r="H34" s="126">
        <v>2</v>
      </c>
      <c r="I34" s="118">
        <v>1411</v>
      </c>
      <c r="J34" s="118">
        <v>1242.3</v>
      </c>
      <c r="K34" s="118">
        <v>1081</v>
      </c>
      <c r="L34" s="127">
        <v>70</v>
      </c>
      <c r="M34" s="126" t="s">
        <v>271</v>
      </c>
      <c r="N34" s="126" t="s">
        <v>275</v>
      </c>
      <c r="O34" s="124" t="s">
        <v>1102</v>
      </c>
      <c r="P34" s="118">
        <v>1982389.7899999998</v>
      </c>
      <c r="Q34" s="118">
        <v>0</v>
      </c>
      <c r="R34" s="118">
        <v>0</v>
      </c>
      <c r="S34" s="118">
        <f t="shared" si="1"/>
        <v>1982389.7899999998</v>
      </c>
      <c r="T34" s="118">
        <f t="shared" si="0"/>
        <v>1404.9537845499644</v>
      </c>
      <c r="U34" s="118">
        <f>T34</f>
        <v>1404.9537845499644</v>
      </c>
      <c r="V34" s="183">
        <f t="shared" si="2"/>
        <v>0</v>
      </c>
      <c r="W34" s="183"/>
      <c r="X34" s="183"/>
      <c r="Y34" s="64">
        <f t="shared" si="3"/>
        <v>1295.2728561304041</v>
      </c>
      <c r="AA34" s="64">
        <f t="shared" si="4"/>
        <v>350</v>
      </c>
      <c r="AC34" s="64" t="s">
        <v>512</v>
      </c>
      <c r="AD34" s="64">
        <v>1136</v>
      </c>
      <c r="AH34" s="64" t="e">
        <f t="shared" si="5"/>
        <v>#N/A</v>
      </c>
      <c r="AJ34" s="64" t="s">
        <v>465</v>
      </c>
      <c r="AK34" s="64">
        <v>475</v>
      </c>
      <c r="AS34" s="64" t="e">
        <f t="shared" si="6"/>
        <v>#N/A</v>
      </c>
      <c r="AU34" s="64" t="s">
        <v>1193</v>
      </c>
      <c r="AV34" s="64">
        <v>4</v>
      </c>
    </row>
    <row r="35" spans="1:48" s="64" customFormat="1" ht="36" customHeight="1" x14ac:dyDescent="0.9">
      <c r="A35" s="64">
        <v>1</v>
      </c>
      <c r="B35" s="92">
        <f>SUBTOTAL(103,$A$16:A35)</f>
        <v>20</v>
      </c>
      <c r="C35" s="91" t="s">
        <v>509</v>
      </c>
      <c r="D35" s="126">
        <v>1980</v>
      </c>
      <c r="E35" s="126"/>
      <c r="F35" s="145" t="s">
        <v>273</v>
      </c>
      <c r="G35" s="126">
        <v>5</v>
      </c>
      <c r="H35" s="126">
        <v>4</v>
      </c>
      <c r="I35" s="118">
        <v>3320</v>
      </c>
      <c r="J35" s="118">
        <v>3048.7</v>
      </c>
      <c r="K35" s="118">
        <v>2877.8</v>
      </c>
      <c r="L35" s="127">
        <v>147</v>
      </c>
      <c r="M35" s="126" t="s">
        <v>271</v>
      </c>
      <c r="N35" s="126" t="s">
        <v>275</v>
      </c>
      <c r="O35" s="124" t="s">
        <v>1102</v>
      </c>
      <c r="P35" s="118">
        <v>3857000</v>
      </c>
      <c r="Q35" s="118">
        <v>0</v>
      </c>
      <c r="R35" s="118">
        <v>0</v>
      </c>
      <c r="S35" s="118">
        <f t="shared" si="1"/>
        <v>3857000</v>
      </c>
      <c r="T35" s="118">
        <f t="shared" si="0"/>
        <v>1161.7469879518073</v>
      </c>
      <c r="U35" s="118">
        <f t="shared" si="8"/>
        <v>1415.5481927710844</v>
      </c>
      <c r="V35" s="183">
        <f t="shared" si="2"/>
        <v>253.80120481927702</v>
      </c>
      <c r="W35" s="183"/>
      <c r="X35" s="183"/>
      <c r="Y35" s="64">
        <f t="shared" si="3"/>
        <v>1415.5481927710844</v>
      </c>
      <c r="AA35" s="64">
        <f t="shared" si="4"/>
        <v>900</v>
      </c>
      <c r="AC35" s="64" t="s">
        <v>514</v>
      </c>
      <c r="AD35" s="64">
        <v>481</v>
      </c>
      <c r="AH35" s="64" t="e">
        <f t="shared" si="5"/>
        <v>#N/A</v>
      </c>
      <c r="AJ35" s="64" t="s">
        <v>1167</v>
      </c>
      <c r="AK35" s="64">
        <v>741.84</v>
      </c>
      <c r="AS35" s="64" t="e">
        <f t="shared" si="6"/>
        <v>#N/A</v>
      </c>
      <c r="AU35" s="64" t="s">
        <v>789</v>
      </c>
      <c r="AV35" s="64">
        <v>3</v>
      </c>
    </row>
    <row r="36" spans="1:48" s="64" customFormat="1" ht="36" customHeight="1" x14ac:dyDescent="0.9">
      <c r="A36" s="64">
        <v>1</v>
      </c>
      <c r="B36" s="92">
        <f>SUBTOTAL(103,$A$16:A36)</f>
        <v>21</v>
      </c>
      <c r="C36" s="91" t="s">
        <v>511</v>
      </c>
      <c r="D36" s="126">
        <v>1968</v>
      </c>
      <c r="E36" s="126"/>
      <c r="F36" s="145" t="s">
        <v>273</v>
      </c>
      <c r="G36" s="126">
        <v>5</v>
      </c>
      <c r="H36" s="126">
        <v>5</v>
      </c>
      <c r="I36" s="118">
        <v>5941.6</v>
      </c>
      <c r="J36" s="118">
        <v>4706.8</v>
      </c>
      <c r="K36" s="118">
        <v>3495.5</v>
      </c>
      <c r="L36" s="127">
        <v>147</v>
      </c>
      <c r="M36" s="126" t="s">
        <v>271</v>
      </c>
      <c r="N36" s="126" t="s">
        <v>275</v>
      </c>
      <c r="O36" s="124" t="s">
        <v>1414</v>
      </c>
      <c r="P36" s="118">
        <v>4366002.71</v>
      </c>
      <c r="Q36" s="118">
        <v>0</v>
      </c>
      <c r="R36" s="118">
        <v>0</v>
      </c>
      <c r="S36" s="118">
        <f t="shared" si="1"/>
        <v>4366002.71</v>
      </c>
      <c r="T36" s="118">
        <f t="shared" si="0"/>
        <v>734.81936010502216</v>
      </c>
      <c r="U36" s="118">
        <f t="shared" si="8"/>
        <v>930.1792648444864</v>
      </c>
      <c r="V36" s="183">
        <f t="shared" si="2"/>
        <v>195.35990473946424</v>
      </c>
      <c r="W36" s="183"/>
      <c r="X36" s="183"/>
      <c r="Y36" s="64">
        <f t="shared" si="3"/>
        <v>930.1792648444864</v>
      </c>
      <c r="AA36" s="64">
        <f t="shared" si="4"/>
        <v>1058.4000000000001</v>
      </c>
      <c r="AC36" s="64" t="s">
        <v>515</v>
      </c>
      <c r="AD36" s="64">
        <v>605</v>
      </c>
      <c r="AH36" s="64" t="e">
        <f t="shared" si="5"/>
        <v>#N/A</v>
      </c>
      <c r="AJ36" s="64" t="s">
        <v>1168</v>
      </c>
      <c r="AK36" s="64">
        <v>905.1</v>
      </c>
      <c r="AS36" s="64" t="e">
        <f t="shared" si="6"/>
        <v>#N/A</v>
      </c>
      <c r="AU36" s="64" t="s">
        <v>790</v>
      </c>
      <c r="AV36" s="64">
        <v>4</v>
      </c>
    </row>
    <row r="37" spans="1:48" s="64" customFormat="1" ht="36" customHeight="1" x14ac:dyDescent="0.9">
      <c r="A37" s="64">
        <v>1</v>
      </c>
      <c r="B37" s="92">
        <f>SUBTOTAL(103,$A$16:A37)</f>
        <v>22</v>
      </c>
      <c r="C37" s="91" t="s">
        <v>1680</v>
      </c>
      <c r="D37" s="126">
        <v>1988</v>
      </c>
      <c r="E37" s="126"/>
      <c r="F37" s="145" t="s">
        <v>319</v>
      </c>
      <c r="G37" s="126">
        <v>5</v>
      </c>
      <c r="H37" s="126">
        <v>3</v>
      </c>
      <c r="I37" s="118">
        <v>2415</v>
      </c>
      <c r="J37" s="118">
        <v>2076.5</v>
      </c>
      <c r="K37" s="118">
        <v>2076.5</v>
      </c>
      <c r="L37" s="127">
        <v>101</v>
      </c>
      <c r="M37" s="126" t="s">
        <v>271</v>
      </c>
      <c r="N37" s="126" t="s">
        <v>275</v>
      </c>
      <c r="O37" s="124" t="s">
        <v>1414</v>
      </c>
      <c r="P37" s="118">
        <v>2349201.9300000002</v>
      </c>
      <c r="Q37" s="118">
        <v>0</v>
      </c>
      <c r="R37" s="118">
        <v>0</v>
      </c>
      <c r="S37" s="118">
        <f t="shared" si="1"/>
        <v>2349201.9300000002</v>
      </c>
      <c r="T37" s="118">
        <f t="shared" si="0"/>
        <v>972.75442236024855</v>
      </c>
      <c r="U37" s="118">
        <f t="shared" si="8"/>
        <v>1241.145100621118</v>
      </c>
      <c r="V37" s="183">
        <f t="shared" si="2"/>
        <v>268.39067826086944</v>
      </c>
      <c r="W37" s="183"/>
      <c r="X37" s="183"/>
      <c r="Y37" s="64">
        <f t="shared" si="3"/>
        <v>1241.145100621118</v>
      </c>
      <c r="AA37" s="64">
        <f t="shared" si="4"/>
        <v>574.01</v>
      </c>
      <c r="AC37" s="64" t="s">
        <v>516</v>
      </c>
      <c r="AD37" s="64">
        <v>780</v>
      </c>
      <c r="AH37" s="64" t="e">
        <f t="shared" si="5"/>
        <v>#N/A</v>
      </c>
      <c r="AJ37" s="64" t="s">
        <v>1170</v>
      </c>
      <c r="AK37" s="64">
        <v>490</v>
      </c>
      <c r="AS37" s="64" t="e">
        <f t="shared" si="6"/>
        <v>#N/A</v>
      </c>
      <c r="AU37" s="64" t="s">
        <v>791</v>
      </c>
      <c r="AV37" s="64">
        <v>5</v>
      </c>
    </row>
    <row r="38" spans="1:48" s="64" customFormat="1" ht="36" customHeight="1" x14ac:dyDescent="0.9">
      <c r="A38" s="64">
        <v>1</v>
      </c>
      <c r="B38" s="92">
        <f>SUBTOTAL(103,$A$16:A38)</f>
        <v>23</v>
      </c>
      <c r="C38" s="91" t="s">
        <v>512</v>
      </c>
      <c r="D38" s="126">
        <v>1988</v>
      </c>
      <c r="E38" s="126"/>
      <c r="F38" s="145" t="s">
        <v>273</v>
      </c>
      <c r="G38" s="126">
        <v>5</v>
      </c>
      <c r="H38" s="126">
        <v>3</v>
      </c>
      <c r="I38" s="118">
        <v>4166.5</v>
      </c>
      <c r="J38" s="118">
        <v>3262.2</v>
      </c>
      <c r="K38" s="118">
        <v>3262.2</v>
      </c>
      <c r="L38" s="127">
        <v>188</v>
      </c>
      <c r="M38" s="126" t="s">
        <v>271</v>
      </c>
      <c r="N38" s="126" t="s">
        <v>275</v>
      </c>
      <c r="O38" s="124" t="s">
        <v>1429</v>
      </c>
      <c r="P38" s="118">
        <v>4647116.5999999996</v>
      </c>
      <c r="Q38" s="118">
        <v>0</v>
      </c>
      <c r="R38" s="118">
        <v>0</v>
      </c>
      <c r="S38" s="118">
        <f t="shared" si="1"/>
        <v>4647116.5999999996</v>
      </c>
      <c r="T38" s="118">
        <f t="shared" si="0"/>
        <v>1115.352598103924</v>
      </c>
      <c r="U38" s="118">
        <f t="shared" si="8"/>
        <v>1423.7285011400456</v>
      </c>
      <c r="V38" s="183">
        <f t="shared" si="2"/>
        <v>308.3759030361216</v>
      </c>
      <c r="W38" s="183"/>
      <c r="X38" s="183"/>
      <c r="Y38" s="64">
        <f t="shared" si="3"/>
        <v>1423.7285011400456</v>
      </c>
      <c r="AA38" s="64">
        <f t="shared" si="4"/>
        <v>1136</v>
      </c>
      <c r="AC38" s="64" t="s">
        <v>521</v>
      </c>
      <c r="AD38" s="64">
        <v>332.1</v>
      </c>
      <c r="AH38" s="64" t="e">
        <f t="shared" si="5"/>
        <v>#N/A</v>
      </c>
      <c r="AJ38" s="64" t="s">
        <v>1172</v>
      </c>
      <c r="AK38" s="64">
        <v>868.72</v>
      </c>
      <c r="AS38" s="64" t="e">
        <f t="shared" si="6"/>
        <v>#N/A</v>
      </c>
      <c r="AU38" s="64" t="s">
        <v>792</v>
      </c>
      <c r="AV38" s="64">
        <v>5</v>
      </c>
    </row>
    <row r="39" spans="1:48" s="64" customFormat="1" ht="36" customHeight="1" x14ac:dyDescent="0.9">
      <c r="A39" s="64">
        <v>1</v>
      </c>
      <c r="B39" s="92">
        <f>SUBTOTAL(103,$A$16:A39)</f>
        <v>24</v>
      </c>
      <c r="C39" s="91" t="s">
        <v>513</v>
      </c>
      <c r="D39" s="126">
        <v>1981</v>
      </c>
      <c r="E39" s="126"/>
      <c r="F39" s="145" t="s">
        <v>273</v>
      </c>
      <c r="G39" s="126">
        <v>5</v>
      </c>
      <c r="H39" s="126">
        <v>1</v>
      </c>
      <c r="I39" s="118">
        <v>794.8</v>
      </c>
      <c r="J39" s="118">
        <v>792.5</v>
      </c>
      <c r="K39" s="118">
        <v>792.5</v>
      </c>
      <c r="L39" s="127">
        <v>22</v>
      </c>
      <c r="M39" s="126" t="s">
        <v>271</v>
      </c>
      <c r="N39" s="126" t="s">
        <v>275</v>
      </c>
      <c r="O39" s="124" t="s">
        <v>356</v>
      </c>
      <c r="P39" s="118">
        <v>679000</v>
      </c>
      <c r="Q39" s="118">
        <v>0</v>
      </c>
      <c r="R39" s="118">
        <v>0</v>
      </c>
      <c r="S39" s="118">
        <f t="shared" si="1"/>
        <v>679000</v>
      </c>
      <c r="T39" s="118">
        <f t="shared" si="0"/>
        <v>854.30296930045301</v>
      </c>
      <c r="U39" s="118">
        <v>1416.389589632653</v>
      </c>
      <c r="V39" s="183">
        <f t="shared" si="2"/>
        <v>562.08662033220003</v>
      </c>
      <c r="W39" s="183"/>
      <c r="X39" s="183"/>
      <c r="Y39" s="64" t="e">
        <f t="shared" si="3"/>
        <v>#N/A</v>
      </c>
      <c r="AA39" s="64" t="e">
        <f t="shared" si="4"/>
        <v>#N/A</v>
      </c>
      <c r="AC39" s="64" t="s">
        <v>522</v>
      </c>
      <c r="AD39" s="64">
        <v>231</v>
      </c>
      <c r="AH39" s="64" t="e">
        <f t="shared" si="5"/>
        <v>#N/A</v>
      </c>
      <c r="AJ39" s="64" t="s">
        <v>1173</v>
      </c>
      <c r="AK39" s="64">
        <v>573.12</v>
      </c>
      <c r="AS39" s="64" t="e">
        <f t="shared" si="6"/>
        <v>#N/A</v>
      </c>
      <c r="AU39" s="64" t="s">
        <v>1201</v>
      </c>
      <c r="AV39" s="64">
        <v>3</v>
      </c>
    </row>
    <row r="40" spans="1:48" s="64" customFormat="1" ht="36" customHeight="1" x14ac:dyDescent="0.9">
      <c r="A40" s="64">
        <v>1</v>
      </c>
      <c r="B40" s="92">
        <f>SUBTOTAL(103,$A$16:A40)</f>
        <v>25</v>
      </c>
      <c r="C40" s="91" t="s">
        <v>514</v>
      </c>
      <c r="D40" s="126">
        <v>1985</v>
      </c>
      <c r="E40" s="126"/>
      <c r="F40" s="145" t="s">
        <v>319</v>
      </c>
      <c r="G40" s="126">
        <v>2</v>
      </c>
      <c r="H40" s="126">
        <v>2</v>
      </c>
      <c r="I40" s="118">
        <v>617.79999999999995</v>
      </c>
      <c r="J40" s="118">
        <v>560.5</v>
      </c>
      <c r="K40" s="118">
        <v>560.5</v>
      </c>
      <c r="L40" s="127">
        <v>35</v>
      </c>
      <c r="M40" s="126" t="s">
        <v>271</v>
      </c>
      <c r="N40" s="126" t="s">
        <v>275</v>
      </c>
      <c r="O40" s="124" t="s">
        <v>1413</v>
      </c>
      <c r="P40" s="118">
        <v>2282700</v>
      </c>
      <c r="Q40" s="118">
        <v>0</v>
      </c>
      <c r="R40" s="118">
        <v>0</v>
      </c>
      <c r="S40" s="118">
        <f t="shared" si="1"/>
        <v>2282700</v>
      </c>
      <c r="T40" s="118">
        <f t="shared" si="0"/>
        <v>3694.8850760764003</v>
      </c>
      <c r="U40" s="118">
        <f>Y40</f>
        <v>4065.5322110715451</v>
      </c>
      <c r="V40" s="183">
        <f t="shared" si="2"/>
        <v>370.64713499514482</v>
      </c>
      <c r="W40" s="183"/>
      <c r="X40" s="183"/>
      <c r="Y40" s="64">
        <f t="shared" si="3"/>
        <v>4065.5322110715451</v>
      </c>
      <c r="AA40" s="64">
        <f t="shared" si="4"/>
        <v>481</v>
      </c>
      <c r="AC40" s="64" t="s">
        <v>525</v>
      </c>
      <c r="AD40" s="64">
        <v>794.6</v>
      </c>
      <c r="AH40" s="64" t="e">
        <f t="shared" si="5"/>
        <v>#N/A</v>
      </c>
      <c r="AJ40" s="64" t="s">
        <v>1174</v>
      </c>
      <c r="AK40" s="64">
        <v>397</v>
      </c>
      <c r="AS40" s="64" t="e">
        <f t="shared" si="6"/>
        <v>#N/A</v>
      </c>
      <c r="AU40" s="64" t="s">
        <v>1204</v>
      </c>
      <c r="AV40" s="64">
        <v>4</v>
      </c>
    </row>
    <row r="41" spans="1:48" s="64" customFormat="1" ht="36" customHeight="1" x14ac:dyDescent="0.9">
      <c r="A41" s="64">
        <v>1</v>
      </c>
      <c r="B41" s="92">
        <f>SUBTOTAL(103,$A$16:A41)</f>
        <v>26</v>
      </c>
      <c r="C41" s="91" t="s">
        <v>515</v>
      </c>
      <c r="D41" s="126">
        <v>1967</v>
      </c>
      <c r="E41" s="126"/>
      <c r="F41" s="145" t="s">
        <v>273</v>
      </c>
      <c r="G41" s="126">
        <v>2</v>
      </c>
      <c r="H41" s="126">
        <v>2</v>
      </c>
      <c r="I41" s="118">
        <v>705.8</v>
      </c>
      <c r="J41" s="118">
        <v>652.9</v>
      </c>
      <c r="K41" s="118">
        <v>519.20000000000005</v>
      </c>
      <c r="L41" s="127">
        <v>38</v>
      </c>
      <c r="M41" s="126" t="s">
        <v>271</v>
      </c>
      <c r="N41" s="126" t="s">
        <v>275</v>
      </c>
      <c r="O41" s="124" t="s">
        <v>1413</v>
      </c>
      <c r="P41" s="118">
        <v>2400313.5499999998</v>
      </c>
      <c r="Q41" s="118">
        <v>0</v>
      </c>
      <c r="R41" s="118">
        <v>0</v>
      </c>
      <c r="S41" s="118">
        <f t="shared" si="1"/>
        <v>2400313.5499999998</v>
      </c>
      <c r="T41" s="118">
        <f t="shared" si="0"/>
        <v>3400.8409606120713</v>
      </c>
      <c r="U41" s="118">
        <f>Y41</f>
        <v>4476.0399546613771</v>
      </c>
      <c r="V41" s="183">
        <f t="shared" si="2"/>
        <v>1075.1989940493058</v>
      </c>
      <c r="W41" s="183"/>
      <c r="X41" s="183"/>
      <c r="Y41" s="64">
        <f t="shared" si="3"/>
        <v>4476.0399546613771</v>
      </c>
      <c r="AA41" s="64">
        <f t="shared" si="4"/>
        <v>605</v>
      </c>
      <c r="AC41" s="64" t="s">
        <v>526</v>
      </c>
      <c r="AD41" s="64">
        <v>861</v>
      </c>
      <c r="AH41" s="64" t="e">
        <f t="shared" si="5"/>
        <v>#N/A</v>
      </c>
      <c r="AJ41" s="64" t="s">
        <v>1317</v>
      </c>
      <c r="AK41" s="64">
        <v>593.15</v>
      </c>
      <c r="AS41" s="64" t="e">
        <f t="shared" si="6"/>
        <v>#N/A</v>
      </c>
      <c r="AU41" s="64" t="s">
        <v>1401</v>
      </c>
      <c r="AV41" s="64">
        <v>9</v>
      </c>
    </row>
    <row r="42" spans="1:48" s="64" customFormat="1" ht="36" customHeight="1" x14ac:dyDescent="0.9">
      <c r="A42" s="64">
        <v>1</v>
      </c>
      <c r="B42" s="92">
        <f>SUBTOTAL(103,$A$16:A42)</f>
        <v>27</v>
      </c>
      <c r="C42" s="91" t="s">
        <v>516</v>
      </c>
      <c r="D42" s="126">
        <v>1972</v>
      </c>
      <c r="E42" s="126"/>
      <c r="F42" s="145" t="s">
        <v>273</v>
      </c>
      <c r="G42" s="126">
        <v>2</v>
      </c>
      <c r="H42" s="126">
        <v>2</v>
      </c>
      <c r="I42" s="118">
        <v>790.6</v>
      </c>
      <c r="J42" s="118">
        <v>725.4</v>
      </c>
      <c r="K42" s="118">
        <v>532.9</v>
      </c>
      <c r="L42" s="127">
        <v>47</v>
      </c>
      <c r="M42" s="126" t="s">
        <v>271</v>
      </c>
      <c r="N42" s="126" t="s">
        <v>275</v>
      </c>
      <c r="O42" s="124" t="s">
        <v>1689</v>
      </c>
      <c r="P42" s="118">
        <v>3277310.71</v>
      </c>
      <c r="Q42" s="118">
        <v>0</v>
      </c>
      <c r="R42" s="118">
        <v>0</v>
      </c>
      <c r="S42" s="118">
        <f t="shared" si="1"/>
        <v>3277310.71</v>
      </c>
      <c r="T42" s="118">
        <f t="shared" si="0"/>
        <v>4145.3462054136098</v>
      </c>
      <c r="U42" s="118">
        <f>Y42</f>
        <v>5151.7885150518596</v>
      </c>
      <c r="V42" s="183">
        <f t="shared" si="2"/>
        <v>1006.4423096382498</v>
      </c>
      <c r="W42" s="183"/>
      <c r="X42" s="183"/>
      <c r="Y42" s="64">
        <f t="shared" si="3"/>
        <v>5151.7885150518596</v>
      </c>
      <c r="AA42" s="64">
        <f t="shared" si="4"/>
        <v>780</v>
      </c>
      <c r="AC42" s="64" t="s">
        <v>527</v>
      </c>
      <c r="AD42" s="64">
        <v>287</v>
      </c>
      <c r="AH42" s="64" t="e">
        <f t="shared" si="5"/>
        <v>#N/A</v>
      </c>
      <c r="AJ42" s="64" t="s">
        <v>1608</v>
      </c>
      <c r="AK42" s="64">
        <v>634.6</v>
      </c>
      <c r="AS42" s="64" t="e">
        <f t="shared" si="6"/>
        <v>#N/A</v>
      </c>
      <c r="AU42" s="64" t="s">
        <v>1417</v>
      </c>
      <c r="AV42" s="64">
        <v>3</v>
      </c>
    </row>
    <row r="43" spans="1:48" s="64" customFormat="1" ht="36" customHeight="1" x14ac:dyDescent="0.9">
      <c r="A43" s="64">
        <v>1</v>
      </c>
      <c r="B43" s="92">
        <f>SUBTOTAL(103,$A$16:A43)</f>
        <v>28</v>
      </c>
      <c r="C43" s="91" t="s">
        <v>517</v>
      </c>
      <c r="D43" s="126">
        <v>1994</v>
      </c>
      <c r="E43" s="126"/>
      <c r="F43" s="145" t="s">
        <v>319</v>
      </c>
      <c r="G43" s="126">
        <v>9</v>
      </c>
      <c r="H43" s="126">
        <v>7</v>
      </c>
      <c r="I43" s="118">
        <v>14325</v>
      </c>
      <c r="J43" s="118">
        <v>14166</v>
      </c>
      <c r="K43" s="118">
        <v>14001.7</v>
      </c>
      <c r="L43" s="127">
        <v>600</v>
      </c>
      <c r="M43" s="126" t="s">
        <v>271</v>
      </c>
      <c r="N43" s="126" t="s">
        <v>275</v>
      </c>
      <c r="O43" s="124" t="s">
        <v>356</v>
      </c>
      <c r="P43" s="118">
        <v>13915854.74</v>
      </c>
      <c r="Q43" s="118">
        <v>0</v>
      </c>
      <c r="R43" s="118">
        <v>0</v>
      </c>
      <c r="S43" s="118">
        <f t="shared" si="1"/>
        <v>13915854.74</v>
      </c>
      <c r="T43" s="118">
        <f t="shared" si="0"/>
        <v>971.43837626527056</v>
      </c>
      <c r="U43" s="118">
        <f>AR43</f>
        <v>1078.6660383944154</v>
      </c>
      <c r="V43" s="183">
        <f t="shared" si="2"/>
        <v>107.22766212914485</v>
      </c>
      <c r="W43" s="183"/>
      <c r="X43" s="183"/>
      <c r="Y43" s="64" t="e">
        <f t="shared" si="3"/>
        <v>#N/A</v>
      </c>
      <c r="AA43" s="64" t="e">
        <f t="shared" si="4"/>
        <v>#N/A</v>
      </c>
      <c r="AC43" s="64" t="s">
        <v>528</v>
      </c>
      <c r="AD43" s="64">
        <v>1765</v>
      </c>
      <c r="AH43" s="64" t="e">
        <f t="shared" si="5"/>
        <v>#N/A</v>
      </c>
      <c r="AJ43" s="64" t="s">
        <v>1182</v>
      </c>
      <c r="AK43" s="64">
        <v>1171</v>
      </c>
      <c r="AR43" s="64">
        <f>AS43*2207413/I43</f>
        <v>1078.6660383944154</v>
      </c>
      <c r="AS43" s="64">
        <f t="shared" si="6"/>
        <v>7</v>
      </c>
      <c r="AU43" s="64" t="s">
        <v>1418</v>
      </c>
      <c r="AV43" s="64">
        <v>4</v>
      </c>
    </row>
    <row r="44" spans="1:48" s="64" customFormat="1" ht="36" customHeight="1" x14ac:dyDescent="0.9">
      <c r="A44" s="64">
        <v>1</v>
      </c>
      <c r="B44" s="92">
        <f>SUBTOTAL(103,$A$16:A44)</f>
        <v>29</v>
      </c>
      <c r="C44" s="91" t="s">
        <v>518</v>
      </c>
      <c r="D44" s="126">
        <v>1994</v>
      </c>
      <c r="E44" s="126"/>
      <c r="F44" s="145" t="s">
        <v>319</v>
      </c>
      <c r="G44" s="126">
        <v>9</v>
      </c>
      <c r="H44" s="126">
        <v>2</v>
      </c>
      <c r="I44" s="118">
        <v>5491.1</v>
      </c>
      <c r="J44" s="118">
        <v>5444.9</v>
      </c>
      <c r="K44" s="118">
        <v>5379.7</v>
      </c>
      <c r="L44" s="127">
        <v>257</v>
      </c>
      <c r="M44" s="126" t="s">
        <v>271</v>
      </c>
      <c r="N44" s="126" t="s">
        <v>275</v>
      </c>
      <c r="O44" s="124" t="s">
        <v>356</v>
      </c>
      <c r="P44" s="118">
        <v>4260892</v>
      </c>
      <c r="Q44" s="118">
        <v>0</v>
      </c>
      <c r="R44" s="118">
        <v>0</v>
      </c>
      <c r="S44" s="118">
        <f t="shared" si="1"/>
        <v>4260892</v>
      </c>
      <c r="T44" s="118">
        <f t="shared" si="0"/>
        <v>775.96328604469045</v>
      </c>
      <c r="U44" s="118">
        <f>AR44</f>
        <v>803.99664912312642</v>
      </c>
      <c r="V44" s="183">
        <f t="shared" si="2"/>
        <v>28.033363078435968</v>
      </c>
      <c r="W44" s="183"/>
      <c r="X44" s="183"/>
      <c r="Y44" s="64" t="e">
        <f t="shared" si="3"/>
        <v>#N/A</v>
      </c>
      <c r="AA44" s="64" t="e">
        <f t="shared" si="4"/>
        <v>#N/A</v>
      </c>
      <c r="AC44" s="64" t="s">
        <v>529</v>
      </c>
      <c r="AD44" s="64">
        <v>2035</v>
      </c>
      <c r="AH44" s="64" t="e">
        <f t="shared" si="5"/>
        <v>#N/A</v>
      </c>
      <c r="AJ44" s="64" t="s">
        <v>1323</v>
      </c>
      <c r="AK44" s="64">
        <v>2524</v>
      </c>
      <c r="AR44" s="64">
        <f>AS44*2207413/I44</f>
        <v>803.99664912312642</v>
      </c>
      <c r="AS44" s="64">
        <f t="shared" si="6"/>
        <v>2</v>
      </c>
      <c r="AU44" s="64" t="s">
        <v>1419</v>
      </c>
      <c r="AV44" s="64">
        <v>3</v>
      </c>
    </row>
    <row r="45" spans="1:48" s="64" customFormat="1" ht="36" customHeight="1" x14ac:dyDescent="0.9">
      <c r="A45" s="64">
        <v>1</v>
      </c>
      <c r="B45" s="92">
        <f>SUBTOTAL(103,$A$16:A45)</f>
        <v>30</v>
      </c>
      <c r="C45" s="91" t="s">
        <v>519</v>
      </c>
      <c r="D45" s="126">
        <v>1993</v>
      </c>
      <c r="E45" s="126"/>
      <c r="F45" s="145" t="s">
        <v>319</v>
      </c>
      <c r="G45" s="126">
        <v>9</v>
      </c>
      <c r="H45" s="126">
        <v>1</v>
      </c>
      <c r="I45" s="118">
        <v>1614.7</v>
      </c>
      <c r="J45" s="118">
        <v>1585.9</v>
      </c>
      <c r="K45" s="118">
        <v>1361.4</v>
      </c>
      <c r="L45" s="127">
        <v>66</v>
      </c>
      <c r="M45" s="126" t="s">
        <v>271</v>
      </c>
      <c r="N45" s="126" t="s">
        <v>275</v>
      </c>
      <c r="O45" s="124" t="s">
        <v>356</v>
      </c>
      <c r="P45" s="118">
        <v>2178303</v>
      </c>
      <c r="Q45" s="118">
        <v>0</v>
      </c>
      <c r="R45" s="118">
        <v>0</v>
      </c>
      <c r="S45" s="118">
        <f t="shared" si="1"/>
        <v>2178303</v>
      </c>
      <c r="T45" s="118">
        <f t="shared" si="0"/>
        <v>1349.0450238434385</v>
      </c>
      <c r="U45" s="118">
        <f>AR45</f>
        <v>1367.073140521459</v>
      </c>
      <c r="V45" s="183">
        <f t="shared" si="2"/>
        <v>18.028116678020524</v>
      </c>
      <c r="W45" s="183"/>
      <c r="X45" s="183"/>
      <c r="Y45" s="64" t="e">
        <f t="shared" si="3"/>
        <v>#N/A</v>
      </c>
      <c r="AA45" s="64" t="e">
        <f t="shared" si="4"/>
        <v>#N/A</v>
      </c>
      <c r="AC45" s="64" t="s">
        <v>530</v>
      </c>
      <c r="AD45" s="64">
        <v>918</v>
      </c>
      <c r="AH45" s="64" t="e">
        <f t="shared" si="5"/>
        <v>#N/A</v>
      </c>
      <c r="AJ45" s="64" t="s">
        <v>786</v>
      </c>
      <c r="AK45" s="64">
        <v>1402</v>
      </c>
      <c r="AR45" s="64">
        <f>AS45*2207413/I45</f>
        <v>1367.073140521459</v>
      </c>
      <c r="AS45" s="64">
        <f t="shared" si="6"/>
        <v>1</v>
      </c>
      <c r="AU45" s="64" t="s">
        <v>1420</v>
      </c>
      <c r="AV45" s="64">
        <v>4</v>
      </c>
    </row>
    <row r="46" spans="1:48" s="64" customFormat="1" ht="36" customHeight="1" x14ac:dyDescent="0.9">
      <c r="A46" s="64">
        <v>1</v>
      </c>
      <c r="B46" s="92">
        <f>SUBTOTAL(103,$A$16:A46)</f>
        <v>31</v>
      </c>
      <c r="C46" s="91" t="s">
        <v>520</v>
      </c>
      <c r="D46" s="126">
        <v>1993</v>
      </c>
      <c r="E46" s="126"/>
      <c r="F46" s="145" t="s">
        <v>319</v>
      </c>
      <c r="G46" s="126">
        <v>9</v>
      </c>
      <c r="H46" s="126">
        <v>2</v>
      </c>
      <c r="I46" s="118">
        <v>4490.3</v>
      </c>
      <c r="J46" s="118">
        <v>4474.6000000000004</v>
      </c>
      <c r="K46" s="118">
        <v>4474.6000000000004</v>
      </c>
      <c r="L46" s="127">
        <v>177</v>
      </c>
      <c r="M46" s="126" t="s">
        <v>271</v>
      </c>
      <c r="N46" s="126" t="s">
        <v>275</v>
      </c>
      <c r="O46" s="124" t="s">
        <v>356</v>
      </c>
      <c r="P46" s="118">
        <v>4396606</v>
      </c>
      <c r="Q46" s="118">
        <v>0</v>
      </c>
      <c r="R46" s="118">
        <v>0</v>
      </c>
      <c r="S46" s="118">
        <f t="shared" si="1"/>
        <v>4396606</v>
      </c>
      <c r="T46" s="118">
        <f t="shared" si="0"/>
        <v>979.13413357682111</v>
      </c>
      <c r="U46" s="118">
        <f>AR46</f>
        <v>983.19176892412531</v>
      </c>
      <c r="V46" s="183">
        <f t="shared" si="2"/>
        <v>4.0576353473041991</v>
      </c>
      <c r="W46" s="183"/>
      <c r="X46" s="183"/>
      <c r="Y46" s="64" t="e">
        <f t="shared" si="3"/>
        <v>#N/A</v>
      </c>
      <c r="AA46" s="64" t="e">
        <f t="shared" si="4"/>
        <v>#N/A</v>
      </c>
      <c r="AC46" s="64" t="s">
        <v>531</v>
      </c>
      <c r="AD46" s="64">
        <v>1045</v>
      </c>
      <c r="AH46" s="64" t="e">
        <f t="shared" si="5"/>
        <v>#N/A</v>
      </c>
      <c r="AJ46" s="64" t="s">
        <v>1194</v>
      </c>
      <c r="AK46" s="64">
        <v>808.48</v>
      </c>
      <c r="AR46" s="64">
        <f>AS46*2207413/I46</f>
        <v>983.19176892412531</v>
      </c>
      <c r="AS46" s="64">
        <f t="shared" si="6"/>
        <v>2</v>
      </c>
      <c r="AU46" s="64" t="s">
        <v>1421</v>
      </c>
      <c r="AV46" s="64">
        <v>3</v>
      </c>
    </row>
    <row r="47" spans="1:48" s="64" customFormat="1" ht="36" customHeight="1" x14ac:dyDescent="0.9">
      <c r="A47" s="64">
        <v>1</v>
      </c>
      <c r="B47" s="92">
        <f>SUBTOTAL(103,$A$16:A47)</f>
        <v>32</v>
      </c>
      <c r="C47" s="91" t="s">
        <v>521</v>
      </c>
      <c r="D47" s="126">
        <v>1987</v>
      </c>
      <c r="E47" s="126"/>
      <c r="F47" s="145" t="s">
        <v>273</v>
      </c>
      <c r="G47" s="126">
        <v>5</v>
      </c>
      <c r="H47" s="126">
        <v>2</v>
      </c>
      <c r="I47" s="118">
        <v>1670.9</v>
      </c>
      <c r="J47" s="118">
        <v>1146.4000000000001</v>
      </c>
      <c r="K47" s="118">
        <v>1030.9000000000001</v>
      </c>
      <c r="L47" s="127">
        <v>65</v>
      </c>
      <c r="M47" s="126" t="s">
        <v>271</v>
      </c>
      <c r="N47" s="126" t="s">
        <v>275</v>
      </c>
      <c r="O47" s="124" t="s">
        <v>1118</v>
      </c>
      <c r="P47" s="118">
        <v>1260630</v>
      </c>
      <c r="Q47" s="118">
        <v>0</v>
      </c>
      <c r="R47" s="118">
        <v>0</v>
      </c>
      <c r="S47" s="118">
        <f t="shared" si="1"/>
        <v>1260630</v>
      </c>
      <c r="T47" s="118">
        <f t="shared" si="0"/>
        <v>754.46166736489317</v>
      </c>
      <c r="U47" s="118">
        <f>Y47</f>
        <v>1037.8597043509487</v>
      </c>
      <c r="V47" s="183">
        <f t="shared" si="2"/>
        <v>283.39803698605556</v>
      </c>
      <c r="W47" s="183"/>
      <c r="X47" s="183"/>
      <c r="Y47" s="64">
        <f t="shared" si="3"/>
        <v>1037.8597043509487</v>
      </c>
      <c r="AA47" s="64">
        <f t="shared" si="4"/>
        <v>332.1</v>
      </c>
      <c r="AC47" s="64" t="s">
        <v>532</v>
      </c>
      <c r="AD47" s="64">
        <v>627</v>
      </c>
      <c r="AH47" s="64" t="e">
        <f t="shared" si="5"/>
        <v>#N/A</v>
      </c>
      <c r="AJ47" s="64" t="s">
        <v>1198</v>
      </c>
      <c r="AK47" s="64">
        <v>2100</v>
      </c>
      <c r="AS47" s="64" t="e">
        <f t="shared" si="6"/>
        <v>#N/A</v>
      </c>
      <c r="AU47" s="64" t="s">
        <v>1587</v>
      </c>
      <c r="AV47" s="64">
        <v>1</v>
      </c>
    </row>
    <row r="48" spans="1:48" s="64" customFormat="1" ht="36" customHeight="1" x14ac:dyDescent="0.9">
      <c r="A48" s="64">
        <v>1</v>
      </c>
      <c r="B48" s="92">
        <f>SUBTOTAL(103,$A$16:A48)</f>
        <v>33</v>
      </c>
      <c r="C48" s="91" t="s">
        <v>522</v>
      </c>
      <c r="D48" s="126">
        <v>1983</v>
      </c>
      <c r="E48" s="126"/>
      <c r="F48" s="145" t="s">
        <v>273</v>
      </c>
      <c r="G48" s="126">
        <v>5</v>
      </c>
      <c r="H48" s="126">
        <v>1</v>
      </c>
      <c r="I48" s="118">
        <v>629</v>
      </c>
      <c r="J48" s="118">
        <v>568.5</v>
      </c>
      <c r="K48" s="118">
        <v>568.5</v>
      </c>
      <c r="L48" s="127">
        <v>31</v>
      </c>
      <c r="M48" s="126" t="s">
        <v>271</v>
      </c>
      <c r="N48" s="126" t="s">
        <v>275</v>
      </c>
      <c r="O48" s="124" t="s">
        <v>1102</v>
      </c>
      <c r="P48" s="118">
        <v>949025</v>
      </c>
      <c r="Q48" s="118">
        <v>0</v>
      </c>
      <c r="R48" s="118">
        <v>0</v>
      </c>
      <c r="S48" s="118">
        <f t="shared" si="1"/>
        <v>949025</v>
      </c>
      <c r="T48" s="118">
        <f t="shared" si="0"/>
        <v>1508.7837837837837</v>
      </c>
      <c r="U48" s="118">
        <f>Y48</f>
        <v>1917.7039745627981</v>
      </c>
      <c r="V48" s="183">
        <f t="shared" si="2"/>
        <v>408.92019077901432</v>
      </c>
      <c r="W48" s="183"/>
      <c r="X48" s="183"/>
      <c r="Y48" s="64">
        <f t="shared" si="3"/>
        <v>1917.7039745627981</v>
      </c>
      <c r="AA48" s="64">
        <f t="shared" si="4"/>
        <v>231</v>
      </c>
      <c r="AC48" s="64" t="s">
        <v>533</v>
      </c>
      <c r="AD48" s="64">
        <v>575.94000000000005</v>
      </c>
      <c r="AH48" s="64" t="e">
        <f t="shared" si="5"/>
        <v>#N/A</v>
      </c>
      <c r="AJ48" s="64" t="s">
        <v>1200</v>
      </c>
      <c r="AK48" s="64">
        <v>364.88</v>
      </c>
      <c r="AS48" s="64" t="e">
        <f t="shared" si="6"/>
        <v>#N/A</v>
      </c>
      <c r="AU48" s="64" t="s">
        <v>1588</v>
      </c>
      <c r="AV48" s="64">
        <v>2</v>
      </c>
    </row>
    <row r="49" spans="1:48" s="64" customFormat="1" ht="36" customHeight="1" x14ac:dyDescent="0.9">
      <c r="A49" s="64">
        <v>1</v>
      </c>
      <c r="B49" s="92">
        <f>SUBTOTAL(103,$A$16:A49)</f>
        <v>34</v>
      </c>
      <c r="C49" s="91" t="s">
        <v>523</v>
      </c>
      <c r="D49" s="126">
        <v>1959</v>
      </c>
      <c r="E49" s="126"/>
      <c r="F49" s="145" t="s">
        <v>273</v>
      </c>
      <c r="G49" s="126">
        <v>2</v>
      </c>
      <c r="H49" s="126">
        <v>1</v>
      </c>
      <c r="I49" s="118">
        <v>313.3</v>
      </c>
      <c r="J49" s="118">
        <v>290.10000000000002</v>
      </c>
      <c r="K49" s="118">
        <v>290.10000000000002</v>
      </c>
      <c r="L49" s="127">
        <v>24</v>
      </c>
      <c r="M49" s="126" t="s">
        <v>271</v>
      </c>
      <c r="N49" s="126" t="s">
        <v>275</v>
      </c>
      <c r="O49" s="124" t="s">
        <v>1102</v>
      </c>
      <c r="P49" s="118">
        <v>1450057.71</v>
      </c>
      <c r="Q49" s="118">
        <v>0</v>
      </c>
      <c r="R49" s="118">
        <v>0</v>
      </c>
      <c r="S49" s="118">
        <f t="shared" si="1"/>
        <v>1450057.71</v>
      </c>
      <c r="T49" s="118">
        <f t="shared" si="0"/>
        <v>4628.3361315033508</v>
      </c>
      <c r="U49" s="118">
        <f>AG49</f>
        <v>7540.4650699758686</v>
      </c>
      <c r="V49" s="183">
        <f t="shared" si="2"/>
        <v>2912.1289384725178</v>
      </c>
      <c r="W49" s="183"/>
      <c r="X49" s="183"/>
      <c r="Y49" s="64" t="e">
        <f t="shared" si="3"/>
        <v>#N/A</v>
      </c>
      <c r="AA49" s="64" t="e">
        <f t="shared" si="4"/>
        <v>#N/A</v>
      </c>
      <c r="AC49" s="64" t="s">
        <v>534</v>
      </c>
      <c r="AD49" s="64">
        <v>839</v>
      </c>
      <c r="AG49" s="64">
        <f>AH49*6191.24/J49</f>
        <v>7540.4650699758686</v>
      </c>
      <c r="AH49" s="64">
        <f t="shared" si="5"/>
        <v>353.32</v>
      </c>
      <c r="AJ49" s="64" t="s">
        <v>1202</v>
      </c>
      <c r="AK49" s="64">
        <v>519.4</v>
      </c>
      <c r="AS49" s="64" t="e">
        <f t="shared" si="6"/>
        <v>#N/A</v>
      </c>
      <c r="AU49" s="64" t="s">
        <v>1589</v>
      </c>
      <c r="AV49" s="64">
        <v>3</v>
      </c>
    </row>
    <row r="50" spans="1:48" s="64" customFormat="1" ht="36" customHeight="1" x14ac:dyDescent="0.9">
      <c r="A50" s="64">
        <v>1</v>
      </c>
      <c r="B50" s="92">
        <f>SUBTOTAL(103,$A$16:A50)</f>
        <v>35</v>
      </c>
      <c r="C50" s="91" t="s">
        <v>524</v>
      </c>
      <c r="D50" s="126">
        <v>1969</v>
      </c>
      <c r="E50" s="126"/>
      <c r="F50" s="145" t="s">
        <v>273</v>
      </c>
      <c r="G50" s="126">
        <v>9</v>
      </c>
      <c r="H50" s="126">
        <v>1</v>
      </c>
      <c r="I50" s="118">
        <v>2575.6999999999998</v>
      </c>
      <c r="J50" s="118">
        <v>2278.3000000000002</v>
      </c>
      <c r="K50" s="118">
        <v>2233.5</v>
      </c>
      <c r="L50" s="127">
        <v>84</v>
      </c>
      <c r="M50" s="126" t="s">
        <v>271</v>
      </c>
      <c r="N50" s="126" t="s">
        <v>275</v>
      </c>
      <c r="O50" s="124" t="s">
        <v>1102</v>
      </c>
      <c r="P50" s="118">
        <v>2178303</v>
      </c>
      <c r="Q50" s="118">
        <v>0</v>
      </c>
      <c r="R50" s="118">
        <v>0</v>
      </c>
      <c r="S50" s="118">
        <f t="shared" si="1"/>
        <v>2178303</v>
      </c>
      <c r="T50" s="118">
        <f t="shared" si="0"/>
        <v>845.71301005551891</v>
      </c>
      <c r="U50" s="118">
        <f>AR50</f>
        <v>857.01479209535273</v>
      </c>
      <c r="V50" s="183">
        <f t="shared" si="2"/>
        <v>11.301782039833824</v>
      </c>
      <c r="W50" s="183"/>
      <c r="X50" s="183"/>
      <c r="Y50" s="64" t="e">
        <f t="shared" si="3"/>
        <v>#N/A</v>
      </c>
      <c r="AA50" s="64" t="e">
        <f t="shared" si="4"/>
        <v>#N/A</v>
      </c>
      <c r="AC50" s="64" t="s">
        <v>535</v>
      </c>
      <c r="AD50" s="64">
        <v>1065</v>
      </c>
      <c r="AH50" s="64" t="e">
        <f t="shared" si="5"/>
        <v>#N/A</v>
      </c>
      <c r="AJ50" s="64" t="s">
        <v>1203</v>
      </c>
      <c r="AK50" s="64">
        <v>408.93</v>
      </c>
      <c r="AR50" s="64">
        <f>AS50*2207413/I50</f>
        <v>857.01479209535273</v>
      </c>
      <c r="AS50" s="64">
        <f t="shared" si="6"/>
        <v>1</v>
      </c>
      <c r="AU50" s="64" t="s">
        <v>1206</v>
      </c>
      <c r="AV50" s="64">
        <v>2</v>
      </c>
    </row>
    <row r="51" spans="1:48" s="64" customFormat="1" ht="36" customHeight="1" x14ac:dyDescent="0.9">
      <c r="A51" s="64">
        <v>1</v>
      </c>
      <c r="B51" s="92">
        <f>SUBTOTAL(103,$A$16:A51)</f>
        <v>36</v>
      </c>
      <c r="C51" s="91" t="s">
        <v>525</v>
      </c>
      <c r="D51" s="126">
        <v>1983</v>
      </c>
      <c r="E51" s="126"/>
      <c r="F51" s="145" t="s">
        <v>273</v>
      </c>
      <c r="G51" s="126">
        <v>5</v>
      </c>
      <c r="H51" s="126">
        <v>3</v>
      </c>
      <c r="I51" s="118">
        <v>2944</v>
      </c>
      <c r="J51" s="118">
        <v>1558.5</v>
      </c>
      <c r="K51" s="118">
        <v>1519.6</v>
      </c>
      <c r="L51" s="127">
        <v>99</v>
      </c>
      <c r="M51" s="126" t="s">
        <v>271</v>
      </c>
      <c r="N51" s="126" t="s">
        <v>275</v>
      </c>
      <c r="O51" s="124" t="s">
        <v>1102</v>
      </c>
      <c r="P51" s="118">
        <v>3328280.65</v>
      </c>
      <c r="Q51" s="118">
        <v>0</v>
      </c>
      <c r="R51" s="118">
        <v>0</v>
      </c>
      <c r="S51" s="118">
        <f t="shared" si="1"/>
        <v>3328280.65</v>
      </c>
      <c r="T51" s="118">
        <f t="shared" si="0"/>
        <v>1130.5301120923912</v>
      </c>
      <c r="U51" s="118">
        <f t="shared" ref="U51:U66" si="9">Y51</f>
        <v>1409.3893614130436</v>
      </c>
      <c r="V51" s="183">
        <f t="shared" si="2"/>
        <v>278.85924932065245</v>
      </c>
      <c r="W51" s="183"/>
      <c r="X51" s="183"/>
      <c r="Y51" s="64">
        <f t="shared" si="3"/>
        <v>1409.3893614130436</v>
      </c>
      <c r="AA51" s="64">
        <f t="shared" si="4"/>
        <v>794.6</v>
      </c>
      <c r="AC51" s="64" t="s">
        <v>536</v>
      </c>
      <c r="AD51" s="64">
        <v>878</v>
      </c>
      <c r="AH51" s="64" t="e">
        <f t="shared" si="5"/>
        <v>#N/A</v>
      </c>
      <c r="AJ51" s="64" t="s">
        <v>390</v>
      </c>
      <c r="AK51" s="64">
        <v>2522.4</v>
      </c>
      <c r="AS51" s="64" t="e">
        <f t="shared" si="6"/>
        <v>#N/A</v>
      </c>
      <c r="AU51" s="64" t="s">
        <v>1606</v>
      </c>
      <c r="AV51" s="64">
        <v>4</v>
      </c>
    </row>
    <row r="52" spans="1:48" s="64" customFormat="1" ht="36" customHeight="1" x14ac:dyDescent="0.9">
      <c r="A52" s="64">
        <v>1</v>
      </c>
      <c r="B52" s="92">
        <f>SUBTOTAL(103,$A$16:A52)</f>
        <v>37</v>
      </c>
      <c r="C52" s="91" t="s">
        <v>526</v>
      </c>
      <c r="D52" s="126">
        <v>1989</v>
      </c>
      <c r="E52" s="126"/>
      <c r="F52" s="145" t="s">
        <v>273</v>
      </c>
      <c r="G52" s="126">
        <v>5</v>
      </c>
      <c r="H52" s="126">
        <v>4</v>
      </c>
      <c r="I52" s="118">
        <v>3501.4</v>
      </c>
      <c r="J52" s="118">
        <v>2634.9</v>
      </c>
      <c r="K52" s="118">
        <v>2634.9</v>
      </c>
      <c r="L52" s="127">
        <v>131</v>
      </c>
      <c r="M52" s="126" t="s">
        <v>271</v>
      </c>
      <c r="N52" s="126" t="s">
        <v>275</v>
      </c>
      <c r="O52" s="124" t="s">
        <v>1429</v>
      </c>
      <c r="P52" s="118">
        <v>2691620.69</v>
      </c>
      <c r="Q52" s="118">
        <v>0</v>
      </c>
      <c r="R52" s="118">
        <v>0</v>
      </c>
      <c r="S52" s="118">
        <f t="shared" si="1"/>
        <v>2691620.69</v>
      </c>
      <c r="T52" s="118">
        <f t="shared" si="0"/>
        <v>768.72699206031871</v>
      </c>
      <c r="U52" s="118">
        <f t="shared" si="9"/>
        <v>1284.0491803278687</v>
      </c>
      <c r="V52" s="183">
        <f t="shared" si="2"/>
        <v>515.32218826755002</v>
      </c>
      <c r="W52" s="183"/>
      <c r="X52" s="183"/>
      <c r="Y52" s="64">
        <f t="shared" si="3"/>
        <v>1284.0491803278687</v>
      </c>
      <c r="AA52" s="64">
        <f t="shared" si="4"/>
        <v>861</v>
      </c>
      <c r="AC52" s="64" t="s">
        <v>537</v>
      </c>
      <c r="AD52" s="64">
        <v>1213.0999999999999</v>
      </c>
      <c r="AH52" s="64" t="e">
        <f t="shared" si="5"/>
        <v>#N/A</v>
      </c>
      <c r="AJ52" s="64" t="s">
        <v>391</v>
      </c>
      <c r="AK52" s="64">
        <v>8596</v>
      </c>
      <c r="AS52" s="64" t="e">
        <f t="shared" si="6"/>
        <v>#N/A</v>
      </c>
      <c r="AU52" s="64" t="s">
        <v>634</v>
      </c>
      <c r="AV52" s="64">
        <v>2</v>
      </c>
    </row>
    <row r="53" spans="1:48" s="64" customFormat="1" ht="36" customHeight="1" x14ac:dyDescent="0.9">
      <c r="A53" s="64">
        <v>1</v>
      </c>
      <c r="B53" s="92">
        <f>SUBTOTAL(103,$A$16:A53)</f>
        <v>38</v>
      </c>
      <c r="C53" s="91" t="s">
        <v>527</v>
      </c>
      <c r="D53" s="126">
        <v>1980</v>
      </c>
      <c r="E53" s="126"/>
      <c r="F53" s="145" t="s">
        <v>273</v>
      </c>
      <c r="G53" s="126">
        <v>5</v>
      </c>
      <c r="H53" s="126">
        <v>1</v>
      </c>
      <c r="I53" s="118">
        <v>1254.0999999999999</v>
      </c>
      <c r="J53" s="118">
        <v>1001.3</v>
      </c>
      <c r="K53" s="118">
        <v>1001.3</v>
      </c>
      <c r="L53" s="127">
        <v>42</v>
      </c>
      <c r="M53" s="126" t="s">
        <v>271</v>
      </c>
      <c r="N53" s="126" t="s">
        <v>275</v>
      </c>
      <c r="O53" s="124" t="s">
        <v>1429</v>
      </c>
      <c r="P53" s="118">
        <v>1124579.6199999999</v>
      </c>
      <c r="Q53" s="118">
        <v>0</v>
      </c>
      <c r="R53" s="118">
        <v>0</v>
      </c>
      <c r="S53" s="118">
        <f t="shared" si="1"/>
        <v>1124579.6199999999</v>
      </c>
      <c r="T53" s="118">
        <f t="shared" si="0"/>
        <v>896.7224463758871</v>
      </c>
      <c r="U53" s="118">
        <f t="shared" si="9"/>
        <v>1195.0056614305081</v>
      </c>
      <c r="V53" s="183">
        <f t="shared" si="2"/>
        <v>298.283215054621</v>
      </c>
      <c r="W53" s="183"/>
      <c r="X53" s="183"/>
      <c r="Y53" s="64">
        <f t="shared" si="3"/>
        <v>1195.0056614305081</v>
      </c>
      <c r="AA53" s="64">
        <f t="shared" si="4"/>
        <v>287</v>
      </c>
      <c r="AC53" s="64" t="s">
        <v>538</v>
      </c>
      <c r="AD53" s="64">
        <v>565</v>
      </c>
      <c r="AH53" s="64" t="e">
        <f t="shared" si="5"/>
        <v>#N/A</v>
      </c>
      <c r="AJ53" s="64" t="s">
        <v>640</v>
      </c>
      <c r="AK53" s="64">
        <v>1978</v>
      </c>
      <c r="AS53" s="64" t="e">
        <f t="shared" si="6"/>
        <v>#N/A</v>
      </c>
      <c r="AU53" s="64" t="s">
        <v>643</v>
      </c>
      <c r="AV53" s="64">
        <v>2</v>
      </c>
    </row>
    <row r="54" spans="1:48" s="64" customFormat="1" ht="36" customHeight="1" x14ac:dyDescent="0.9">
      <c r="A54" s="64">
        <v>1</v>
      </c>
      <c r="B54" s="92">
        <f>SUBTOTAL(103,$A$16:A54)</f>
        <v>39</v>
      </c>
      <c r="C54" s="91" t="s">
        <v>528</v>
      </c>
      <c r="D54" s="126">
        <v>1981</v>
      </c>
      <c r="E54" s="126"/>
      <c r="F54" s="145" t="s">
        <v>319</v>
      </c>
      <c r="G54" s="126">
        <v>5</v>
      </c>
      <c r="H54" s="126">
        <v>8</v>
      </c>
      <c r="I54" s="118">
        <v>7968.9</v>
      </c>
      <c r="J54" s="118">
        <v>6120.8</v>
      </c>
      <c r="K54" s="118">
        <v>6120.8</v>
      </c>
      <c r="L54" s="127">
        <v>317</v>
      </c>
      <c r="M54" s="126" t="s">
        <v>271</v>
      </c>
      <c r="N54" s="126" t="s">
        <v>275</v>
      </c>
      <c r="O54" s="124" t="s">
        <v>1429</v>
      </c>
      <c r="P54" s="118">
        <v>3014550</v>
      </c>
      <c r="Q54" s="118">
        <v>0</v>
      </c>
      <c r="R54" s="118">
        <v>0</v>
      </c>
      <c r="S54" s="118">
        <f t="shared" si="1"/>
        <v>3014550</v>
      </c>
      <c r="T54" s="118">
        <f t="shared" si="0"/>
        <v>378.28934984753232</v>
      </c>
      <c r="U54" s="118">
        <f t="shared" si="9"/>
        <v>1156.5557354214509</v>
      </c>
      <c r="V54" s="183">
        <f t="shared" si="2"/>
        <v>778.26638557391857</v>
      </c>
      <c r="W54" s="183"/>
      <c r="X54" s="183"/>
      <c r="Y54" s="64">
        <f t="shared" si="3"/>
        <v>1156.5557354214509</v>
      </c>
      <c r="AA54" s="64">
        <f t="shared" si="4"/>
        <v>1765</v>
      </c>
      <c r="AC54" s="64" t="s">
        <v>1402</v>
      </c>
      <c r="AD54" s="64">
        <v>330</v>
      </c>
      <c r="AH54" s="64" t="e">
        <f t="shared" si="5"/>
        <v>#N/A</v>
      </c>
      <c r="AJ54" s="64" t="s">
        <v>1210</v>
      </c>
      <c r="AK54" s="64">
        <v>795.9</v>
      </c>
      <c r="AS54" s="64" t="e">
        <f t="shared" si="6"/>
        <v>#N/A</v>
      </c>
      <c r="AU54" s="64" t="s">
        <v>650</v>
      </c>
      <c r="AV54" s="64">
        <v>1</v>
      </c>
    </row>
    <row r="55" spans="1:48" s="64" customFormat="1" ht="36" customHeight="1" x14ac:dyDescent="0.9">
      <c r="A55" s="64">
        <v>1</v>
      </c>
      <c r="B55" s="92">
        <f>SUBTOTAL(103,$A$16:A55)</f>
        <v>40</v>
      </c>
      <c r="C55" s="91" t="s">
        <v>529</v>
      </c>
      <c r="D55" s="126">
        <v>1993</v>
      </c>
      <c r="E55" s="126"/>
      <c r="F55" s="145" t="s">
        <v>319</v>
      </c>
      <c r="G55" s="126">
        <v>5</v>
      </c>
      <c r="H55" s="126">
        <v>5</v>
      </c>
      <c r="I55" s="118">
        <v>7577.6</v>
      </c>
      <c r="J55" s="118">
        <v>5722.2</v>
      </c>
      <c r="K55" s="118">
        <v>5722</v>
      </c>
      <c r="L55" s="127">
        <v>260</v>
      </c>
      <c r="M55" s="126" t="s">
        <v>271</v>
      </c>
      <c r="N55" s="126" t="s">
        <v>275</v>
      </c>
      <c r="O55" s="124" t="s">
        <v>1429</v>
      </c>
      <c r="P55" s="118">
        <v>4726301.83</v>
      </c>
      <c r="Q55" s="118">
        <v>0</v>
      </c>
      <c r="R55" s="118">
        <v>0</v>
      </c>
      <c r="S55" s="118">
        <f t="shared" si="1"/>
        <v>4726301.83</v>
      </c>
      <c r="T55" s="118">
        <f t="shared" si="0"/>
        <v>623.72015281883444</v>
      </c>
      <c r="U55" s="118">
        <f t="shared" si="9"/>
        <v>1402.3388671875</v>
      </c>
      <c r="V55" s="183">
        <f t="shared" si="2"/>
        <v>778.61871436866556</v>
      </c>
      <c r="W55" s="183"/>
      <c r="X55" s="183"/>
      <c r="Y55" s="64">
        <f t="shared" si="3"/>
        <v>1402.3388671875</v>
      </c>
      <c r="AA55" s="64">
        <f t="shared" si="4"/>
        <v>2035</v>
      </c>
      <c r="AC55" s="64" t="s">
        <v>1404</v>
      </c>
      <c r="AD55" s="64">
        <v>903.1</v>
      </c>
      <c r="AH55" s="64" t="e">
        <f t="shared" si="5"/>
        <v>#N/A</v>
      </c>
      <c r="AJ55" s="64" t="s">
        <v>671</v>
      </c>
      <c r="AK55" s="64">
        <v>470.68</v>
      </c>
      <c r="AS55" s="64" t="e">
        <f t="shared" si="6"/>
        <v>#N/A</v>
      </c>
      <c r="AU55" s="64" t="s">
        <v>681</v>
      </c>
      <c r="AV55" s="64">
        <v>2</v>
      </c>
    </row>
    <row r="56" spans="1:48" s="64" customFormat="1" ht="36" customHeight="1" x14ac:dyDescent="0.9">
      <c r="A56" s="64">
        <v>1</v>
      </c>
      <c r="B56" s="92">
        <f>SUBTOTAL(103,$A$16:A56)</f>
        <v>41</v>
      </c>
      <c r="C56" s="91" t="s">
        <v>530</v>
      </c>
      <c r="D56" s="126">
        <v>1986</v>
      </c>
      <c r="E56" s="126"/>
      <c r="F56" s="145" t="s">
        <v>273</v>
      </c>
      <c r="G56" s="126">
        <v>5</v>
      </c>
      <c r="H56" s="126">
        <v>4</v>
      </c>
      <c r="I56" s="118">
        <v>3600.3</v>
      </c>
      <c r="J56" s="118">
        <v>2714.2</v>
      </c>
      <c r="K56" s="118">
        <v>2714.2</v>
      </c>
      <c r="L56" s="127">
        <v>137</v>
      </c>
      <c r="M56" s="126" t="s">
        <v>271</v>
      </c>
      <c r="N56" s="126" t="s">
        <v>275</v>
      </c>
      <c r="O56" s="124" t="s">
        <v>1429</v>
      </c>
      <c r="P56" s="118">
        <v>2888341.13</v>
      </c>
      <c r="Q56" s="118">
        <v>0</v>
      </c>
      <c r="R56" s="118">
        <v>0</v>
      </c>
      <c r="S56" s="118">
        <f t="shared" si="1"/>
        <v>2888341.13</v>
      </c>
      <c r="T56" s="118">
        <f t="shared" si="0"/>
        <v>802.25012637835732</v>
      </c>
      <c r="U56" s="118">
        <f t="shared" si="9"/>
        <v>1331.4480459961669</v>
      </c>
      <c r="V56" s="183">
        <f t="shared" si="2"/>
        <v>529.19791961780959</v>
      </c>
      <c r="W56" s="183"/>
      <c r="X56" s="183"/>
      <c r="Y56" s="64">
        <f t="shared" si="3"/>
        <v>1331.4480459961669</v>
      </c>
      <c r="AA56" s="64">
        <f t="shared" si="4"/>
        <v>918</v>
      </c>
      <c r="AC56" s="64" t="s">
        <v>1126</v>
      </c>
      <c r="AD56" s="64">
        <v>1118</v>
      </c>
      <c r="AH56" s="64" t="e">
        <f t="shared" si="5"/>
        <v>#N/A</v>
      </c>
      <c r="AJ56" s="64" t="s">
        <v>1227</v>
      </c>
      <c r="AK56" s="64">
        <v>3461.25</v>
      </c>
      <c r="AS56" s="64" t="e">
        <f t="shared" si="6"/>
        <v>#N/A</v>
      </c>
      <c r="AU56" s="64" t="s">
        <v>1235</v>
      </c>
      <c r="AV56" s="64">
        <v>4</v>
      </c>
    </row>
    <row r="57" spans="1:48" s="64" customFormat="1" ht="36" customHeight="1" x14ac:dyDescent="0.9">
      <c r="A57" s="64">
        <v>1</v>
      </c>
      <c r="B57" s="92">
        <f>SUBTOTAL(103,$A$16:A57)</f>
        <v>42</v>
      </c>
      <c r="C57" s="91" t="s">
        <v>531</v>
      </c>
      <c r="D57" s="126">
        <v>1988</v>
      </c>
      <c r="E57" s="126"/>
      <c r="F57" s="145" t="s">
        <v>319</v>
      </c>
      <c r="G57" s="126">
        <v>5</v>
      </c>
      <c r="H57" s="126">
        <v>5</v>
      </c>
      <c r="I57" s="118">
        <v>5202.1000000000004</v>
      </c>
      <c r="J57" s="118">
        <v>3872.5</v>
      </c>
      <c r="K57" s="118">
        <v>3697</v>
      </c>
      <c r="L57" s="127">
        <v>193</v>
      </c>
      <c r="M57" s="126" t="s">
        <v>271</v>
      </c>
      <c r="N57" s="126" t="s">
        <v>275</v>
      </c>
      <c r="O57" s="124" t="s">
        <v>1118</v>
      </c>
      <c r="P57" s="118">
        <v>4187098.32</v>
      </c>
      <c r="Q57" s="118">
        <v>0</v>
      </c>
      <c r="R57" s="118">
        <v>0</v>
      </c>
      <c r="S57" s="118">
        <f t="shared" si="1"/>
        <v>4187098.32</v>
      </c>
      <c r="T57" s="118">
        <f t="shared" si="0"/>
        <v>804.88616520251423</v>
      </c>
      <c r="U57" s="118">
        <f t="shared" si="9"/>
        <v>1048.9573441494781</v>
      </c>
      <c r="V57" s="183">
        <f t="shared" si="2"/>
        <v>244.07117894696387</v>
      </c>
      <c r="W57" s="183"/>
      <c r="X57" s="183"/>
      <c r="Y57" s="64">
        <f t="shared" si="3"/>
        <v>1048.9573441494781</v>
      </c>
      <c r="AA57" s="64">
        <f t="shared" si="4"/>
        <v>1045</v>
      </c>
      <c r="AC57" s="64" t="s">
        <v>1127</v>
      </c>
      <c r="AD57" s="64">
        <v>375.1</v>
      </c>
      <c r="AH57" s="64" t="e">
        <f t="shared" si="5"/>
        <v>#N/A</v>
      </c>
      <c r="AJ57" s="64" t="s">
        <v>713</v>
      </c>
      <c r="AK57" s="64">
        <v>607.29999999999995</v>
      </c>
      <c r="AS57" s="64" t="e">
        <f t="shared" si="6"/>
        <v>#N/A</v>
      </c>
      <c r="AU57" s="64" t="s">
        <v>543</v>
      </c>
      <c r="AV57" s="64">
        <v>1</v>
      </c>
    </row>
    <row r="58" spans="1:48" s="64" customFormat="1" ht="36" customHeight="1" x14ac:dyDescent="0.9">
      <c r="A58" s="64">
        <v>1</v>
      </c>
      <c r="B58" s="92">
        <f>SUBTOTAL(103,$A$16:A58)</f>
        <v>43</v>
      </c>
      <c r="C58" s="91" t="s">
        <v>532</v>
      </c>
      <c r="D58" s="126">
        <v>1987</v>
      </c>
      <c r="E58" s="126"/>
      <c r="F58" s="145" t="s">
        <v>319</v>
      </c>
      <c r="G58" s="126">
        <v>5</v>
      </c>
      <c r="H58" s="126">
        <v>3</v>
      </c>
      <c r="I58" s="118">
        <v>3164.6</v>
      </c>
      <c r="J58" s="118">
        <v>2306.6999999999998</v>
      </c>
      <c r="K58" s="118">
        <v>2254.6</v>
      </c>
      <c r="L58" s="127">
        <v>96</v>
      </c>
      <c r="M58" s="126" t="s">
        <v>271</v>
      </c>
      <c r="N58" s="126" t="s">
        <v>275</v>
      </c>
      <c r="O58" s="124" t="s">
        <v>1118</v>
      </c>
      <c r="P58" s="118">
        <v>2740500</v>
      </c>
      <c r="Q58" s="118">
        <v>0</v>
      </c>
      <c r="R58" s="118">
        <v>0</v>
      </c>
      <c r="S58" s="118">
        <f t="shared" si="1"/>
        <v>2740500</v>
      </c>
      <c r="T58" s="118">
        <f t="shared" si="0"/>
        <v>865.98622258737282</v>
      </c>
      <c r="U58" s="118">
        <f t="shared" si="9"/>
        <v>1034.5916071541428</v>
      </c>
      <c r="V58" s="183">
        <f t="shared" si="2"/>
        <v>168.60538456677</v>
      </c>
      <c r="W58" s="183"/>
      <c r="X58" s="183"/>
      <c r="Y58" s="64">
        <f t="shared" si="3"/>
        <v>1034.5916071541428</v>
      </c>
      <c r="AA58" s="64">
        <f t="shared" si="4"/>
        <v>627</v>
      </c>
      <c r="AC58" s="64" t="s">
        <v>1128</v>
      </c>
      <c r="AD58" s="64">
        <v>912.27</v>
      </c>
      <c r="AH58" s="64" t="e">
        <f t="shared" si="5"/>
        <v>#N/A</v>
      </c>
      <c r="AJ58" s="64" t="s">
        <v>1231</v>
      </c>
      <c r="AK58" s="64">
        <v>647.20000000000005</v>
      </c>
      <c r="AS58" s="64" t="e">
        <f t="shared" si="6"/>
        <v>#N/A</v>
      </c>
      <c r="AU58" s="64" t="s">
        <v>544</v>
      </c>
      <c r="AV58" s="64">
        <v>1</v>
      </c>
    </row>
    <row r="59" spans="1:48" s="64" customFormat="1" ht="36" customHeight="1" x14ac:dyDescent="0.9">
      <c r="A59" s="64">
        <v>1</v>
      </c>
      <c r="B59" s="92">
        <f>SUBTOTAL(103,$A$16:A59)</f>
        <v>44</v>
      </c>
      <c r="C59" s="91" t="s">
        <v>533</v>
      </c>
      <c r="D59" s="126">
        <v>1952</v>
      </c>
      <c r="E59" s="126"/>
      <c r="F59" s="145" t="s">
        <v>273</v>
      </c>
      <c r="G59" s="126">
        <v>2</v>
      </c>
      <c r="H59" s="126">
        <v>2</v>
      </c>
      <c r="I59" s="118">
        <v>796</v>
      </c>
      <c r="J59" s="118">
        <v>723.4</v>
      </c>
      <c r="K59" s="118">
        <v>571.67999999999995</v>
      </c>
      <c r="L59" s="127">
        <v>47</v>
      </c>
      <c r="M59" s="126" t="s">
        <v>271</v>
      </c>
      <c r="N59" s="126" t="s">
        <v>275</v>
      </c>
      <c r="O59" s="124" t="s">
        <v>1413</v>
      </c>
      <c r="P59" s="118">
        <v>2298174.4700000002</v>
      </c>
      <c r="Q59" s="118">
        <v>0</v>
      </c>
      <c r="R59" s="118">
        <v>0</v>
      </c>
      <c r="S59" s="118">
        <f t="shared" si="1"/>
        <v>2298174.4700000002</v>
      </c>
      <c r="T59" s="118">
        <f t="shared" si="0"/>
        <v>2887.1538567839198</v>
      </c>
      <c r="U59" s="118">
        <f t="shared" si="9"/>
        <v>3778.1953417085433</v>
      </c>
      <c r="V59" s="183">
        <f t="shared" si="2"/>
        <v>891.04148492462355</v>
      </c>
      <c r="W59" s="183"/>
      <c r="X59" s="183"/>
      <c r="Y59" s="64">
        <f t="shared" si="3"/>
        <v>3778.1953417085433</v>
      </c>
      <c r="AA59" s="64">
        <f t="shared" si="4"/>
        <v>575.94000000000005</v>
      </c>
      <c r="AC59" s="64" t="s">
        <v>1131</v>
      </c>
      <c r="AD59" s="64">
        <v>970</v>
      </c>
      <c r="AH59" s="64" t="e">
        <f t="shared" si="5"/>
        <v>#N/A</v>
      </c>
      <c r="AJ59" s="64" t="s">
        <v>1232</v>
      </c>
      <c r="AK59" s="64">
        <v>652.70000000000005</v>
      </c>
      <c r="AS59" s="64" t="e">
        <f t="shared" si="6"/>
        <v>#N/A</v>
      </c>
      <c r="AU59" s="64" t="s">
        <v>1406</v>
      </c>
      <c r="AV59" s="64">
        <v>6</v>
      </c>
    </row>
    <row r="60" spans="1:48" s="64" customFormat="1" ht="36" customHeight="1" x14ac:dyDescent="0.9">
      <c r="A60" s="64">
        <v>1</v>
      </c>
      <c r="B60" s="92">
        <f>SUBTOTAL(103,$A$16:A60)</f>
        <v>45</v>
      </c>
      <c r="C60" s="91" t="s">
        <v>534</v>
      </c>
      <c r="D60" s="126">
        <v>1989</v>
      </c>
      <c r="E60" s="126"/>
      <c r="F60" s="145" t="s">
        <v>319</v>
      </c>
      <c r="G60" s="126">
        <v>5</v>
      </c>
      <c r="H60" s="126">
        <v>4</v>
      </c>
      <c r="I60" s="118">
        <v>4185.3</v>
      </c>
      <c r="J60" s="118">
        <v>3109.7</v>
      </c>
      <c r="K60" s="118">
        <v>3039.3</v>
      </c>
      <c r="L60" s="127">
        <v>144</v>
      </c>
      <c r="M60" s="126" t="s">
        <v>271</v>
      </c>
      <c r="N60" s="126" t="s">
        <v>275</v>
      </c>
      <c r="O60" s="124" t="s">
        <v>1118</v>
      </c>
      <c r="P60" s="118">
        <v>3382151.3</v>
      </c>
      <c r="Q60" s="118">
        <v>0</v>
      </c>
      <c r="R60" s="118">
        <v>0</v>
      </c>
      <c r="S60" s="118">
        <f t="shared" si="1"/>
        <v>3382151.3</v>
      </c>
      <c r="T60" s="118">
        <f t="shared" si="0"/>
        <v>808.1024777196377</v>
      </c>
      <c r="U60" s="118">
        <f t="shared" si="9"/>
        <v>1046.780445846176</v>
      </c>
      <c r="V60" s="183">
        <f t="shared" si="2"/>
        <v>238.6779681265383</v>
      </c>
      <c r="W60" s="183"/>
      <c r="X60" s="183"/>
      <c r="Y60" s="64">
        <f t="shared" si="3"/>
        <v>1046.780445846176</v>
      </c>
      <c r="AA60" s="64">
        <f t="shared" si="4"/>
        <v>839</v>
      </c>
      <c r="AC60" s="64" t="s">
        <v>1132</v>
      </c>
      <c r="AD60" s="64">
        <v>1013.6</v>
      </c>
      <c r="AH60" s="64" t="e">
        <f t="shared" si="5"/>
        <v>#N/A</v>
      </c>
      <c r="AJ60" s="64" t="s">
        <v>678</v>
      </c>
      <c r="AK60" s="64">
        <v>719.43</v>
      </c>
      <c r="AS60" s="64" t="e">
        <f t="shared" si="6"/>
        <v>#N/A</v>
      </c>
      <c r="AU60" s="64" t="s">
        <v>558</v>
      </c>
      <c r="AV60" s="64">
        <v>1</v>
      </c>
    </row>
    <row r="61" spans="1:48" s="64" customFormat="1" ht="36" customHeight="1" x14ac:dyDescent="0.9">
      <c r="A61" s="64">
        <v>1</v>
      </c>
      <c r="B61" s="92">
        <f>SUBTOTAL(103,$A$16:A61)</f>
        <v>46</v>
      </c>
      <c r="C61" s="91" t="s">
        <v>535</v>
      </c>
      <c r="D61" s="126">
        <v>1958</v>
      </c>
      <c r="E61" s="126"/>
      <c r="F61" s="145" t="s">
        <v>273</v>
      </c>
      <c r="G61" s="126">
        <v>3</v>
      </c>
      <c r="H61" s="126">
        <v>2</v>
      </c>
      <c r="I61" s="118">
        <v>1891.9</v>
      </c>
      <c r="J61" s="118">
        <v>1802.9</v>
      </c>
      <c r="K61" s="118">
        <v>1802.9</v>
      </c>
      <c r="L61" s="127">
        <v>64</v>
      </c>
      <c r="M61" s="126" t="s">
        <v>271</v>
      </c>
      <c r="N61" s="126" t="s">
        <v>275</v>
      </c>
      <c r="O61" s="124" t="s">
        <v>1428</v>
      </c>
      <c r="P61" s="118">
        <v>4424547.4400000004</v>
      </c>
      <c r="Q61" s="118">
        <v>0</v>
      </c>
      <c r="R61" s="118">
        <v>0</v>
      </c>
      <c r="S61" s="118">
        <f t="shared" si="1"/>
        <v>4424547.4400000004</v>
      </c>
      <c r="T61" s="118">
        <f t="shared" si="0"/>
        <v>2338.6793382314077</v>
      </c>
      <c r="U61" s="118">
        <f t="shared" si="9"/>
        <v>2939.4878164807865</v>
      </c>
      <c r="V61" s="183">
        <f t="shared" si="2"/>
        <v>600.80847824937882</v>
      </c>
      <c r="W61" s="183"/>
      <c r="X61" s="183"/>
      <c r="Y61" s="64">
        <f t="shared" si="3"/>
        <v>2939.4878164807865</v>
      </c>
      <c r="AA61" s="64">
        <f t="shared" si="4"/>
        <v>1065</v>
      </c>
      <c r="AC61" s="64" t="s">
        <v>1133</v>
      </c>
      <c r="AD61" s="64">
        <v>746.77</v>
      </c>
      <c r="AH61" s="64" t="e">
        <f t="shared" si="5"/>
        <v>#N/A</v>
      </c>
      <c r="AJ61" s="64" t="s">
        <v>1236</v>
      </c>
      <c r="AK61" s="64">
        <v>415.14</v>
      </c>
      <c r="AS61" s="64" t="e">
        <f t="shared" si="6"/>
        <v>#N/A</v>
      </c>
      <c r="AU61" s="64" t="s">
        <v>1117</v>
      </c>
      <c r="AV61" s="64">
        <v>4</v>
      </c>
    </row>
    <row r="62" spans="1:48" s="64" customFormat="1" ht="36" customHeight="1" x14ac:dyDescent="0.9">
      <c r="A62" s="64">
        <v>1</v>
      </c>
      <c r="B62" s="92">
        <f>SUBTOTAL(103,$A$16:A62)</f>
        <v>47</v>
      </c>
      <c r="C62" s="91" t="s">
        <v>536</v>
      </c>
      <c r="D62" s="126">
        <v>1997</v>
      </c>
      <c r="E62" s="126"/>
      <c r="F62" s="145" t="s">
        <v>273</v>
      </c>
      <c r="G62" s="126">
        <v>4</v>
      </c>
      <c r="H62" s="126">
        <v>3</v>
      </c>
      <c r="I62" s="118">
        <v>2862.3</v>
      </c>
      <c r="J62" s="118">
        <v>2037.4</v>
      </c>
      <c r="K62" s="118">
        <v>2037.4</v>
      </c>
      <c r="L62" s="127">
        <v>98</v>
      </c>
      <c r="M62" s="126" t="s">
        <v>271</v>
      </c>
      <c r="N62" s="126" t="s">
        <v>275</v>
      </c>
      <c r="O62" s="124" t="s">
        <v>1429</v>
      </c>
      <c r="P62" s="118">
        <v>3533721.55</v>
      </c>
      <c r="Q62" s="118">
        <v>0</v>
      </c>
      <c r="R62" s="118">
        <v>0</v>
      </c>
      <c r="S62" s="118">
        <f t="shared" si="1"/>
        <v>3533721.55</v>
      </c>
      <c r="T62" s="118">
        <f t="shared" si="0"/>
        <v>1234.5741361841874</v>
      </c>
      <c r="U62" s="118">
        <f t="shared" si="9"/>
        <v>1601.7679488523215</v>
      </c>
      <c r="V62" s="183">
        <f t="shared" si="2"/>
        <v>367.19381266813411</v>
      </c>
      <c r="W62" s="183"/>
      <c r="X62" s="183"/>
      <c r="Y62" s="64">
        <f t="shared" si="3"/>
        <v>1601.7679488523215</v>
      </c>
      <c r="AA62" s="64">
        <f t="shared" si="4"/>
        <v>878</v>
      </c>
      <c r="AC62" s="64" t="s">
        <v>1136</v>
      </c>
      <c r="AD62" s="64">
        <v>934.1</v>
      </c>
      <c r="AH62" s="64" t="e">
        <f t="shared" si="5"/>
        <v>#N/A</v>
      </c>
      <c r="AJ62" s="64" t="s">
        <v>1237</v>
      </c>
      <c r="AK62" s="64">
        <v>390.67</v>
      </c>
      <c r="AS62" s="64" t="e">
        <f t="shared" si="6"/>
        <v>#N/A</v>
      </c>
      <c r="AU62" s="64" t="s">
        <v>566</v>
      </c>
      <c r="AV62" s="64">
        <v>1</v>
      </c>
    </row>
    <row r="63" spans="1:48" s="64" customFormat="1" ht="36" customHeight="1" x14ac:dyDescent="0.9">
      <c r="A63" s="64">
        <v>1</v>
      </c>
      <c r="B63" s="92">
        <f>SUBTOTAL(103,$A$16:A63)</f>
        <v>48</v>
      </c>
      <c r="C63" s="91" t="s">
        <v>537</v>
      </c>
      <c r="D63" s="126">
        <v>1995</v>
      </c>
      <c r="E63" s="126"/>
      <c r="F63" s="145" t="s">
        <v>319</v>
      </c>
      <c r="G63" s="126" t="s">
        <v>358</v>
      </c>
      <c r="H63" s="126">
        <v>4</v>
      </c>
      <c r="I63" s="118">
        <v>8497.7000000000007</v>
      </c>
      <c r="J63" s="118">
        <v>6287.1</v>
      </c>
      <c r="K63" s="118">
        <v>5664.6</v>
      </c>
      <c r="L63" s="127">
        <v>206</v>
      </c>
      <c r="M63" s="126" t="s">
        <v>271</v>
      </c>
      <c r="N63" s="126" t="s">
        <v>275</v>
      </c>
      <c r="O63" s="124" t="s">
        <v>1118</v>
      </c>
      <c r="P63" s="118">
        <v>3491771.3</v>
      </c>
      <c r="Q63" s="118">
        <v>0</v>
      </c>
      <c r="R63" s="118">
        <v>0</v>
      </c>
      <c r="S63" s="118">
        <f t="shared" si="1"/>
        <v>3491771.3</v>
      </c>
      <c r="T63" s="118">
        <f t="shared" si="0"/>
        <v>410.90781034868252</v>
      </c>
      <c r="U63" s="118">
        <f t="shared" si="9"/>
        <v>745.44471798251288</v>
      </c>
      <c r="V63" s="183">
        <f t="shared" si="2"/>
        <v>334.53690763383037</v>
      </c>
      <c r="W63" s="183"/>
      <c r="X63" s="183"/>
      <c r="Y63" s="64">
        <f t="shared" si="3"/>
        <v>745.44471798251288</v>
      </c>
      <c r="AA63" s="64">
        <f t="shared" si="4"/>
        <v>1213.0999999999999</v>
      </c>
      <c r="AC63" s="64" t="s">
        <v>1138</v>
      </c>
      <c r="AD63" s="64">
        <v>1554.3</v>
      </c>
      <c r="AH63" s="64" t="e">
        <f t="shared" si="5"/>
        <v>#N/A</v>
      </c>
      <c r="AJ63" s="64" t="s">
        <v>238</v>
      </c>
      <c r="AK63" s="64">
        <v>449.8</v>
      </c>
      <c r="AS63" s="64" t="e">
        <f t="shared" si="6"/>
        <v>#N/A</v>
      </c>
      <c r="AU63" s="64" t="s">
        <v>412</v>
      </c>
      <c r="AV63" s="64">
        <v>1</v>
      </c>
    </row>
    <row r="64" spans="1:48" s="64" customFormat="1" ht="36" customHeight="1" x14ac:dyDescent="0.9">
      <c r="A64" s="64">
        <v>1</v>
      </c>
      <c r="B64" s="92">
        <f>SUBTOTAL(103,$A$16:A64)</f>
        <v>49</v>
      </c>
      <c r="C64" s="91" t="s">
        <v>538</v>
      </c>
      <c r="D64" s="126">
        <v>1988</v>
      </c>
      <c r="E64" s="126"/>
      <c r="F64" s="145" t="s">
        <v>273</v>
      </c>
      <c r="G64" s="126">
        <v>2</v>
      </c>
      <c r="H64" s="126">
        <v>2</v>
      </c>
      <c r="I64" s="118">
        <v>1063.8</v>
      </c>
      <c r="J64" s="118">
        <v>570.29999999999995</v>
      </c>
      <c r="K64" s="118">
        <v>570.29999999999995</v>
      </c>
      <c r="L64" s="127">
        <v>36</v>
      </c>
      <c r="M64" s="126" t="s">
        <v>271</v>
      </c>
      <c r="N64" s="126" t="s">
        <v>275</v>
      </c>
      <c r="O64" s="124" t="s">
        <v>1429</v>
      </c>
      <c r="P64" s="118">
        <v>2347677.0299999998</v>
      </c>
      <c r="Q64" s="118">
        <v>0</v>
      </c>
      <c r="R64" s="118">
        <v>0</v>
      </c>
      <c r="S64" s="118">
        <f t="shared" si="1"/>
        <v>2347677.0299999998</v>
      </c>
      <c r="T64" s="118">
        <f t="shared" si="0"/>
        <v>2206.878200789622</v>
      </c>
      <c r="U64" s="118">
        <f t="shared" si="9"/>
        <v>2773.3756345177667</v>
      </c>
      <c r="V64" s="183">
        <f t="shared" si="2"/>
        <v>566.49743372814464</v>
      </c>
      <c r="W64" s="183"/>
      <c r="X64" s="183"/>
      <c r="Y64" s="64">
        <f t="shared" si="3"/>
        <v>2773.3756345177667</v>
      </c>
      <c r="AA64" s="64">
        <f t="shared" si="4"/>
        <v>565</v>
      </c>
      <c r="AC64" s="64" t="s">
        <v>1139</v>
      </c>
      <c r="AD64" s="64">
        <v>450</v>
      </c>
      <c r="AH64" s="64" t="e">
        <f t="shared" si="5"/>
        <v>#N/A</v>
      </c>
      <c r="AJ64" s="64" t="s">
        <v>1241</v>
      </c>
      <c r="AK64" s="64">
        <v>677.5</v>
      </c>
      <c r="AS64" s="64" t="e">
        <f t="shared" si="6"/>
        <v>#N/A</v>
      </c>
      <c r="AU64" s="64" t="s">
        <v>799</v>
      </c>
      <c r="AV64" s="64">
        <v>3</v>
      </c>
    </row>
    <row r="65" spans="1:48" s="64" customFormat="1" ht="36" customHeight="1" x14ac:dyDescent="0.9">
      <c r="A65" s="64">
        <v>1</v>
      </c>
      <c r="B65" s="92">
        <f>SUBTOTAL(103,$A$16:A65)</f>
        <v>50</v>
      </c>
      <c r="C65" s="91" t="s">
        <v>1402</v>
      </c>
      <c r="D65" s="126">
        <v>1971</v>
      </c>
      <c r="E65" s="126"/>
      <c r="F65" s="145" t="s">
        <v>273</v>
      </c>
      <c r="G65" s="126">
        <v>9</v>
      </c>
      <c r="H65" s="126">
        <v>1</v>
      </c>
      <c r="I65" s="118">
        <v>1902</v>
      </c>
      <c r="J65" s="118">
        <v>1902</v>
      </c>
      <c r="K65" s="118">
        <v>1785.6</v>
      </c>
      <c r="L65" s="127">
        <v>135</v>
      </c>
      <c r="M65" s="126" t="s">
        <v>271</v>
      </c>
      <c r="N65" s="126" t="s">
        <v>275</v>
      </c>
      <c r="O65" s="124" t="s">
        <v>1103</v>
      </c>
      <c r="P65" s="118">
        <v>710500</v>
      </c>
      <c r="Q65" s="118">
        <v>0</v>
      </c>
      <c r="R65" s="118">
        <v>0</v>
      </c>
      <c r="S65" s="118">
        <f t="shared" si="1"/>
        <v>710500</v>
      </c>
      <c r="T65" s="118">
        <f t="shared" si="0"/>
        <v>373.55415352260781</v>
      </c>
      <c r="U65" s="118">
        <f t="shared" si="9"/>
        <v>905.99053627760247</v>
      </c>
      <c r="V65" s="183">
        <f t="shared" si="2"/>
        <v>532.43638275499461</v>
      </c>
      <c r="W65" s="183"/>
      <c r="X65" s="183"/>
      <c r="Y65" s="64">
        <f t="shared" si="3"/>
        <v>905.99053627760247</v>
      </c>
      <c r="AA65" s="64">
        <f t="shared" si="4"/>
        <v>330</v>
      </c>
      <c r="AC65" s="64" t="s">
        <v>1140</v>
      </c>
      <c r="AD65" s="64">
        <v>450</v>
      </c>
      <c r="AH65" s="64" t="e">
        <f t="shared" si="5"/>
        <v>#N/A</v>
      </c>
      <c r="AJ65" s="64" t="s">
        <v>1243</v>
      </c>
      <c r="AK65" s="64">
        <v>766.41</v>
      </c>
      <c r="AS65" s="64" t="e">
        <f t="shared" si="6"/>
        <v>#N/A</v>
      </c>
      <c r="AU65" s="64" t="s">
        <v>800</v>
      </c>
      <c r="AV65" s="64">
        <v>4</v>
      </c>
    </row>
    <row r="66" spans="1:48" s="64" customFormat="1" ht="36" customHeight="1" x14ac:dyDescent="0.9">
      <c r="A66" s="64">
        <v>1</v>
      </c>
      <c r="B66" s="92">
        <f>SUBTOTAL(103,$A$16:A66)</f>
        <v>51</v>
      </c>
      <c r="C66" s="91" t="s">
        <v>1404</v>
      </c>
      <c r="D66" s="126">
        <v>1963</v>
      </c>
      <c r="E66" s="126"/>
      <c r="F66" s="145" t="s">
        <v>273</v>
      </c>
      <c r="G66" s="126">
        <v>5</v>
      </c>
      <c r="H66" s="126">
        <v>3</v>
      </c>
      <c r="I66" s="118">
        <v>2525.6</v>
      </c>
      <c r="J66" s="118">
        <v>1560.2</v>
      </c>
      <c r="K66" s="118">
        <v>1560.2</v>
      </c>
      <c r="L66" s="127">
        <v>130</v>
      </c>
      <c r="M66" s="126" t="s">
        <v>271</v>
      </c>
      <c r="N66" s="126" t="s">
        <v>275</v>
      </c>
      <c r="O66" s="124" t="s">
        <v>1416</v>
      </c>
      <c r="P66" s="118">
        <v>4183123.2600000002</v>
      </c>
      <c r="Q66" s="118">
        <v>0</v>
      </c>
      <c r="R66" s="118">
        <v>0</v>
      </c>
      <c r="S66" s="118">
        <f t="shared" si="1"/>
        <v>4183123.2600000002</v>
      </c>
      <c r="T66" s="118">
        <f t="shared" si="0"/>
        <v>1656.2889056065887</v>
      </c>
      <c r="U66" s="118">
        <f t="shared" si="9"/>
        <v>1867.20287456446</v>
      </c>
      <c r="V66" s="183">
        <f t="shared" si="2"/>
        <v>210.91396895787125</v>
      </c>
      <c r="W66" s="183"/>
      <c r="X66" s="183"/>
      <c r="Y66" s="64">
        <f t="shared" si="3"/>
        <v>1867.20287456446</v>
      </c>
      <c r="AA66" s="64">
        <f t="shared" si="4"/>
        <v>903.1</v>
      </c>
      <c r="AC66" s="64" t="s">
        <v>1141</v>
      </c>
      <c r="AD66" s="64">
        <v>450</v>
      </c>
      <c r="AH66" s="64" t="e">
        <f t="shared" si="5"/>
        <v>#N/A</v>
      </c>
      <c r="AJ66" s="64" t="s">
        <v>1244</v>
      </c>
      <c r="AK66" s="64">
        <v>798.07</v>
      </c>
      <c r="AS66" s="64" t="e">
        <f t="shared" si="6"/>
        <v>#N/A</v>
      </c>
      <c r="AU66" s="64" t="s">
        <v>802</v>
      </c>
      <c r="AV66" s="64">
        <v>2</v>
      </c>
    </row>
    <row r="67" spans="1:48" s="64" customFormat="1" ht="36" customHeight="1" x14ac:dyDescent="0.9">
      <c r="A67" s="64">
        <v>1</v>
      </c>
      <c r="B67" s="92">
        <f>SUBTOTAL(103,$A$16:A67)</f>
        <v>52</v>
      </c>
      <c r="C67" s="91" t="s">
        <v>1405</v>
      </c>
      <c r="D67" s="126">
        <v>1960</v>
      </c>
      <c r="E67" s="126"/>
      <c r="F67" s="145" t="s">
        <v>273</v>
      </c>
      <c r="G67" s="126">
        <v>2</v>
      </c>
      <c r="H67" s="126">
        <v>2</v>
      </c>
      <c r="I67" s="118">
        <v>662.9</v>
      </c>
      <c r="J67" s="118">
        <v>622.9</v>
      </c>
      <c r="K67" s="118">
        <v>622.9</v>
      </c>
      <c r="L67" s="127">
        <v>40</v>
      </c>
      <c r="M67" s="126" t="s">
        <v>271</v>
      </c>
      <c r="N67" s="126" t="s">
        <v>275</v>
      </c>
      <c r="O67" s="124" t="s">
        <v>1354</v>
      </c>
      <c r="P67" s="118">
        <v>2324213.5</v>
      </c>
      <c r="Q67" s="118">
        <v>0</v>
      </c>
      <c r="R67" s="118">
        <v>0</v>
      </c>
      <c r="S67" s="118">
        <f t="shared" si="1"/>
        <v>2324213.5</v>
      </c>
      <c r="T67" s="118">
        <f t="shared" si="0"/>
        <v>3506.1298838437169</v>
      </c>
      <c r="U67" s="118">
        <f>AG67</f>
        <v>5883.1192101460911</v>
      </c>
      <c r="V67" s="183">
        <f t="shared" si="2"/>
        <v>2376.9893263023741</v>
      </c>
      <c r="W67" s="183"/>
      <c r="X67" s="183"/>
      <c r="Y67" s="64" t="e">
        <f t="shared" si="3"/>
        <v>#N/A</v>
      </c>
      <c r="AA67" s="64" t="e">
        <f t="shared" si="4"/>
        <v>#N/A</v>
      </c>
      <c r="AC67" s="64" t="s">
        <v>1152</v>
      </c>
      <c r="AD67" s="64">
        <v>900.3</v>
      </c>
      <c r="AG67" s="64">
        <f>AH67*6191.24/J67</f>
        <v>5883.1192101460911</v>
      </c>
      <c r="AH67" s="64">
        <f t="shared" si="5"/>
        <v>591.9</v>
      </c>
      <c r="AJ67" s="64" t="s">
        <v>1635</v>
      </c>
      <c r="AK67" s="64">
        <v>377.9</v>
      </c>
      <c r="AS67" s="64" t="e">
        <f t="shared" si="6"/>
        <v>#N/A</v>
      </c>
      <c r="AU67" s="64" t="s">
        <v>804</v>
      </c>
      <c r="AV67" s="64">
        <v>2</v>
      </c>
    </row>
    <row r="68" spans="1:48" s="64" customFormat="1" ht="36" customHeight="1" x14ac:dyDescent="0.9">
      <c r="A68" s="64">
        <v>1</v>
      </c>
      <c r="B68" s="92">
        <f>SUBTOTAL(103,$A$16:A68)</f>
        <v>53</v>
      </c>
      <c r="C68" s="91" t="s">
        <v>1123</v>
      </c>
      <c r="D68" s="126">
        <v>1991</v>
      </c>
      <c r="E68" s="126"/>
      <c r="F68" s="145" t="s">
        <v>319</v>
      </c>
      <c r="G68" s="126">
        <v>9</v>
      </c>
      <c r="H68" s="126">
        <v>3</v>
      </c>
      <c r="I68" s="118">
        <v>6815.3</v>
      </c>
      <c r="J68" s="118">
        <v>6295.6</v>
      </c>
      <c r="K68" s="118">
        <v>5711.2</v>
      </c>
      <c r="L68" s="127">
        <v>251</v>
      </c>
      <c r="M68" s="126" t="s">
        <v>271</v>
      </c>
      <c r="N68" s="126" t="s">
        <v>275</v>
      </c>
      <c r="O68" s="124" t="s">
        <v>1415</v>
      </c>
      <c r="P68" s="118">
        <v>4195168.8</v>
      </c>
      <c r="Q68" s="118">
        <v>0</v>
      </c>
      <c r="R68" s="118">
        <v>0</v>
      </c>
      <c r="S68" s="118">
        <f t="shared" si="1"/>
        <v>4195168.8</v>
      </c>
      <c r="T68" s="118">
        <f t="shared" si="0"/>
        <v>615.55159714172521</v>
      </c>
      <c r="U68" s="118">
        <f>AR68</f>
        <v>971.67241354012299</v>
      </c>
      <c r="V68" s="183">
        <f t="shared" si="2"/>
        <v>356.12081639839778</v>
      </c>
      <c r="W68" s="183"/>
      <c r="X68" s="183"/>
      <c r="Y68" s="64" t="e">
        <f t="shared" si="3"/>
        <v>#N/A</v>
      </c>
      <c r="AA68" s="64" t="e">
        <f t="shared" si="4"/>
        <v>#N/A</v>
      </c>
      <c r="AC68" s="64" t="s">
        <v>1157</v>
      </c>
      <c r="AD68" s="64">
        <v>624.25</v>
      </c>
      <c r="AH68" s="64" t="e">
        <f t="shared" si="5"/>
        <v>#N/A</v>
      </c>
      <c r="AJ68" s="64" t="s">
        <v>249</v>
      </c>
      <c r="AK68" s="64">
        <v>369.1</v>
      </c>
      <c r="AR68" s="64">
        <f>AS68*2207413/I68</f>
        <v>971.67241354012299</v>
      </c>
      <c r="AS68" s="64">
        <f t="shared" si="6"/>
        <v>3</v>
      </c>
      <c r="AU68" s="64" t="s">
        <v>805</v>
      </c>
      <c r="AV68" s="64">
        <v>1</v>
      </c>
    </row>
    <row r="69" spans="1:48" s="64" customFormat="1" ht="36" customHeight="1" x14ac:dyDescent="0.9">
      <c r="A69" s="64">
        <v>1</v>
      </c>
      <c r="B69" s="92">
        <f>SUBTOTAL(103,$A$16:A69)</f>
        <v>54</v>
      </c>
      <c r="C69" s="91" t="s">
        <v>1124</v>
      </c>
      <c r="D69" s="126">
        <v>1956</v>
      </c>
      <c r="E69" s="126"/>
      <c r="F69" s="145" t="s">
        <v>273</v>
      </c>
      <c r="G69" s="126">
        <v>5</v>
      </c>
      <c r="H69" s="126">
        <v>6</v>
      </c>
      <c r="I69" s="118">
        <v>6143.7</v>
      </c>
      <c r="J69" s="118">
        <v>5611.8</v>
      </c>
      <c r="K69" s="118">
        <v>4995.2</v>
      </c>
      <c r="L69" s="127">
        <v>163</v>
      </c>
      <c r="M69" s="126" t="s">
        <v>271</v>
      </c>
      <c r="N69" s="126" t="s">
        <v>349</v>
      </c>
      <c r="O69" s="124" t="s">
        <v>1690</v>
      </c>
      <c r="P69" s="118">
        <v>12534252.41</v>
      </c>
      <c r="Q69" s="118">
        <v>0</v>
      </c>
      <c r="R69" s="118">
        <v>0</v>
      </c>
      <c r="S69" s="118">
        <f t="shared" si="1"/>
        <v>12534252.41</v>
      </c>
      <c r="T69" s="118">
        <f t="shared" si="0"/>
        <v>2040.1797630092617</v>
      </c>
      <c r="U69" s="118">
        <f>AG69</f>
        <v>6386.1077289283303</v>
      </c>
      <c r="V69" s="183">
        <f t="shared" si="2"/>
        <v>4345.9279659190688</v>
      </c>
      <c r="W69" s="183"/>
      <c r="X69" s="183"/>
      <c r="Y69" s="64" t="e">
        <f t="shared" si="3"/>
        <v>#N/A</v>
      </c>
      <c r="AA69" s="64" t="e">
        <f t="shared" si="4"/>
        <v>#N/A</v>
      </c>
      <c r="AC69" s="64" t="s">
        <v>1160</v>
      </c>
      <c r="AD69" s="64">
        <v>1151.2</v>
      </c>
      <c r="AG69" s="64">
        <f>AH69*6191.24/J69</f>
        <v>6386.1077289283303</v>
      </c>
      <c r="AH69" s="64">
        <f t="shared" si="5"/>
        <v>5788.43</v>
      </c>
      <c r="AJ69" s="64" t="s">
        <v>246</v>
      </c>
      <c r="AK69" s="64">
        <v>490.6</v>
      </c>
      <c r="AS69" s="64" t="e">
        <f t="shared" si="6"/>
        <v>#N/A</v>
      </c>
      <c r="AU69" s="64" t="s">
        <v>392</v>
      </c>
      <c r="AV69" s="64">
        <v>4</v>
      </c>
    </row>
    <row r="70" spans="1:48" s="64" customFormat="1" ht="36" customHeight="1" x14ac:dyDescent="0.9">
      <c r="A70" s="64">
        <v>1</v>
      </c>
      <c r="B70" s="92">
        <f>SUBTOTAL(103,$A$16:A70)</f>
        <v>55</v>
      </c>
      <c r="C70" s="91" t="s">
        <v>1125</v>
      </c>
      <c r="D70" s="126">
        <v>1959</v>
      </c>
      <c r="E70" s="126"/>
      <c r="F70" s="145" t="s">
        <v>273</v>
      </c>
      <c r="G70" s="126">
        <v>5</v>
      </c>
      <c r="H70" s="126">
        <v>4</v>
      </c>
      <c r="I70" s="118">
        <v>6876.6</v>
      </c>
      <c r="J70" s="118">
        <v>5622.29</v>
      </c>
      <c r="K70" s="118">
        <v>5003.59</v>
      </c>
      <c r="L70" s="127">
        <v>154</v>
      </c>
      <c r="M70" s="126" t="s">
        <v>271</v>
      </c>
      <c r="N70" s="126" t="s">
        <v>275</v>
      </c>
      <c r="O70" s="124" t="s">
        <v>1413</v>
      </c>
      <c r="P70" s="118">
        <v>5593157.79</v>
      </c>
      <c r="Q70" s="118">
        <v>0</v>
      </c>
      <c r="R70" s="118">
        <v>0</v>
      </c>
      <c r="S70" s="118">
        <f t="shared" si="1"/>
        <v>5593157.79</v>
      </c>
      <c r="T70" s="118">
        <f t="shared" si="0"/>
        <v>813.3609327283832</v>
      </c>
      <c r="U70" s="118">
        <f>AG70</f>
        <v>4241.9809505379471</v>
      </c>
      <c r="V70" s="183">
        <f t="shared" si="2"/>
        <v>3428.6200178095642</v>
      </c>
      <c r="W70" s="183"/>
      <c r="X70" s="183"/>
      <c r="Y70" s="64" t="e">
        <f t="shared" si="3"/>
        <v>#N/A</v>
      </c>
      <c r="AA70" s="64" t="e">
        <f t="shared" si="4"/>
        <v>#N/A</v>
      </c>
      <c r="AC70" s="64" t="s">
        <v>1596</v>
      </c>
      <c r="AD70" s="64">
        <v>484</v>
      </c>
      <c r="AG70" s="64">
        <f>AH70*6191.24/J70</f>
        <v>4241.9809505379471</v>
      </c>
      <c r="AH70" s="64">
        <f t="shared" si="5"/>
        <v>3852.16</v>
      </c>
      <c r="AJ70" s="64" t="s">
        <v>1247</v>
      </c>
      <c r="AK70" s="64">
        <v>658.14</v>
      </c>
      <c r="AS70" s="64" t="e">
        <f t="shared" si="6"/>
        <v>#N/A</v>
      </c>
      <c r="AU70" s="64" t="s">
        <v>646</v>
      </c>
      <c r="AV70" s="64">
        <v>1</v>
      </c>
    </row>
    <row r="71" spans="1:48" s="64" customFormat="1" ht="36" customHeight="1" x14ac:dyDescent="0.9">
      <c r="A71" s="64">
        <v>1</v>
      </c>
      <c r="B71" s="92">
        <f>SUBTOTAL(103,$A$16:A71)</f>
        <v>56</v>
      </c>
      <c r="C71" s="91" t="s">
        <v>1126</v>
      </c>
      <c r="D71" s="126">
        <v>1974</v>
      </c>
      <c r="E71" s="126"/>
      <c r="F71" s="145" t="s">
        <v>273</v>
      </c>
      <c r="G71" s="126">
        <v>5</v>
      </c>
      <c r="H71" s="126">
        <v>4</v>
      </c>
      <c r="I71" s="118">
        <v>4917</v>
      </c>
      <c r="J71" s="118">
        <v>4801.3</v>
      </c>
      <c r="K71" s="118">
        <v>4321.2</v>
      </c>
      <c r="L71" s="127">
        <v>125</v>
      </c>
      <c r="M71" s="126" t="s">
        <v>271</v>
      </c>
      <c r="N71" s="126" t="s">
        <v>275</v>
      </c>
      <c r="O71" s="124" t="s">
        <v>1102</v>
      </c>
      <c r="P71" s="118">
        <v>2451551.34</v>
      </c>
      <c r="Q71" s="118">
        <v>0</v>
      </c>
      <c r="R71" s="118">
        <v>0</v>
      </c>
      <c r="S71" s="118">
        <f t="shared" si="1"/>
        <v>2451551.34</v>
      </c>
      <c r="T71" s="118">
        <f t="shared" si="0"/>
        <v>498.58680902989624</v>
      </c>
      <c r="U71" s="118">
        <f>Y71</f>
        <v>1187.3037217815743</v>
      </c>
      <c r="V71" s="183">
        <f t="shared" si="2"/>
        <v>688.71691275167802</v>
      </c>
      <c r="W71" s="183"/>
      <c r="X71" s="183"/>
      <c r="Y71" s="64">
        <f t="shared" si="3"/>
        <v>1187.3037217815743</v>
      </c>
      <c r="AA71" s="64">
        <f t="shared" si="4"/>
        <v>1118</v>
      </c>
      <c r="AC71" s="64" t="s">
        <v>1592</v>
      </c>
      <c r="AD71" s="64">
        <v>900</v>
      </c>
      <c r="AH71" s="64" t="e">
        <f t="shared" si="5"/>
        <v>#N/A</v>
      </c>
      <c r="AJ71" s="64" t="s">
        <v>1248</v>
      </c>
      <c r="AK71" s="64">
        <v>497</v>
      </c>
      <c r="AS71" s="64" t="e">
        <f t="shared" si="6"/>
        <v>#N/A</v>
      </c>
      <c r="AU71" s="64" t="s">
        <v>601</v>
      </c>
      <c r="AV71" s="64">
        <v>1</v>
      </c>
    </row>
    <row r="72" spans="1:48" s="64" customFormat="1" ht="36" customHeight="1" x14ac:dyDescent="0.9">
      <c r="A72" s="64">
        <v>1</v>
      </c>
      <c r="B72" s="92">
        <f>SUBTOTAL(103,$A$16:A72)</f>
        <v>57</v>
      </c>
      <c r="C72" s="91" t="s">
        <v>1127</v>
      </c>
      <c r="D72" s="126">
        <v>1972</v>
      </c>
      <c r="E72" s="126"/>
      <c r="F72" s="145" t="s">
        <v>273</v>
      </c>
      <c r="G72" s="126">
        <v>4</v>
      </c>
      <c r="H72" s="126">
        <v>1</v>
      </c>
      <c r="I72" s="118">
        <v>772</v>
      </c>
      <c r="J72" s="118">
        <v>596</v>
      </c>
      <c r="K72" s="118">
        <v>375</v>
      </c>
      <c r="L72" s="127">
        <v>26</v>
      </c>
      <c r="M72" s="126" t="s">
        <v>271</v>
      </c>
      <c r="N72" s="126" t="s">
        <v>275</v>
      </c>
      <c r="O72" s="124" t="s">
        <v>1416</v>
      </c>
      <c r="P72" s="118">
        <v>1186477.9099999999</v>
      </c>
      <c r="Q72" s="118">
        <v>0</v>
      </c>
      <c r="R72" s="118">
        <v>0</v>
      </c>
      <c r="S72" s="118">
        <f t="shared" si="1"/>
        <v>1186477.9099999999</v>
      </c>
      <c r="T72" s="118">
        <f t="shared" si="0"/>
        <v>1536.8884844559584</v>
      </c>
      <c r="U72" s="118">
        <f>Y72</f>
        <v>2537.1725129533679</v>
      </c>
      <c r="V72" s="183">
        <f t="shared" si="2"/>
        <v>1000.2840284974095</v>
      </c>
      <c r="W72" s="183"/>
      <c r="X72" s="183"/>
      <c r="Y72" s="64">
        <f t="shared" si="3"/>
        <v>2537.1725129533679</v>
      </c>
      <c r="AA72" s="64">
        <f t="shared" si="4"/>
        <v>375.1</v>
      </c>
      <c r="AC72" s="64" t="s">
        <v>1595</v>
      </c>
      <c r="AD72" s="64">
        <v>1004.3</v>
      </c>
      <c r="AH72" s="64" t="e">
        <f t="shared" si="5"/>
        <v>#N/A</v>
      </c>
      <c r="AJ72" s="64" t="s">
        <v>820</v>
      </c>
      <c r="AK72" s="64">
        <v>605</v>
      </c>
      <c r="AS72" s="64" t="e">
        <f t="shared" si="6"/>
        <v>#N/A</v>
      </c>
      <c r="AU72" s="64" t="s">
        <v>507</v>
      </c>
      <c r="AV72" s="64">
        <v>1</v>
      </c>
    </row>
    <row r="73" spans="1:48" s="64" customFormat="1" ht="36" customHeight="1" x14ac:dyDescent="0.9">
      <c r="A73" s="64">
        <v>1</v>
      </c>
      <c r="B73" s="92">
        <f>SUBTOTAL(103,$A$16:A73)</f>
        <v>58</v>
      </c>
      <c r="C73" s="91" t="s">
        <v>1128</v>
      </c>
      <c r="D73" s="126">
        <v>1975</v>
      </c>
      <c r="E73" s="126"/>
      <c r="F73" s="145" t="s">
        <v>273</v>
      </c>
      <c r="G73" s="126">
        <v>5</v>
      </c>
      <c r="H73" s="126">
        <v>3</v>
      </c>
      <c r="I73" s="118">
        <v>2962.8</v>
      </c>
      <c r="J73" s="118">
        <v>2688.5</v>
      </c>
      <c r="K73" s="118">
        <v>2688.5</v>
      </c>
      <c r="L73" s="127">
        <v>96</v>
      </c>
      <c r="M73" s="126" t="s">
        <v>271</v>
      </c>
      <c r="N73" s="126" t="s">
        <v>275</v>
      </c>
      <c r="O73" s="124" t="s">
        <v>1354</v>
      </c>
      <c r="P73" s="118">
        <v>3306287.7600000002</v>
      </c>
      <c r="Q73" s="118">
        <v>0</v>
      </c>
      <c r="R73" s="118">
        <v>0</v>
      </c>
      <c r="S73" s="118">
        <f t="shared" si="1"/>
        <v>3306287.7600000002</v>
      </c>
      <c r="T73" s="118">
        <f t="shared" si="0"/>
        <v>1115.9334953422438</v>
      </c>
      <c r="U73" s="118">
        <f>Y73</f>
        <v>1607.8343074119077</v>
      </c>
      <c r="V73" s="183">
        <f t="shared" si="2"/>
        <v>491.90081206966397</v>
      </c>
      <c r="W73" s="183"/>
      <c r="X73" s="183"/>
      <c r="Y73" s="64">
        <f t="shared" si="3"/>
        <v>1607.8343074119077</v>
      </c>
      <c r="AA73" s="64">
        <f t="shared" si="4"/>
        <v>912.27</v>
      </c>
      <c r="AC73" s="64" t="s">
        <v>1591</v>
      </c>
      <c r="AD73" s="64">
        <v>1057</v>
      </c>
      <c r="AH73" s="64" t="e">
        <f t="shared" si="5"/>
        <v>#N/A</v>
      </c>
      <c r="AJ73" s="64" t="s">
        <v>1252</v>
      </c>
      <c r="AK73" s="64">
        <v>3424.15</v>
      </c>
      <c r="AS73" s="64" t="e">
        <f t="shared" si="6"/>
        <v>#N/A</v>
      </c>
      <c r="AU73" s="64" t="s">
        <v>1097</v>
      </c>
      <c r="AV73" s="64">
        <v>3</v>
      </c>
    </row>
    <row r="74" spans="1:48" s="64" customFormat="1" ht="36" customHeight="1" x14ac:dyDescent="0.9">
      <c r="A74" s="64">
        <v>1</v>
      </c>
      <c r="B74" s="92">
        <f>SUBTOTAL(103,$A$16:A74)</f>
        <v>59</v>
      </c>
      <c r="C74" s="91" t="s">
        <v>1129</v>
      </c>
      <c r="D74" s="126">
        <v>1974</v>
      </c>
      <c r="E74" s="126"/>
      <c r="F74" s="145" t="s">
        <v>273</v>
      </c>
      <c r="G74" s="126">
        <v>6</v>
      </c>
      <c r="H74" s="126">
        <v>1</v>
      </c>
      <c r="I74" s="118">
        <v>938.4</v>
      </c>
      <c r="J74" s="118">
        <v>865.7</v>
      </c>
      <c r="K74" s="118">
        <v>563.9</v>
      </c>
      <c r="L74" s="127">
        <v>22</v>
      </c>
      <c r="M74" s="126" t="s">
        <v>271</v>
      </c>
      <c r="N74" s="126" t="s">
        <v>275</v>
      </c>
      <c r="O74" s="124" t="s">
        <v>1415</v>
      </c>
      <c r="P74" s="118">
        <v>4301356.74</v>
      </c>
      <c r="Q74" s="118">
        <v>0</v>
      </c>
      <c r="R74" s="118">
        <v>0</v>
      </c>
      <c r="S74" s="118">
        <f t="shared" si="1"/>
        <v>4301356.74</v>
      </c>
      <c r="T74" s="118">
        <f t="shared" si="0"/>
        <v>4583.7134910485938</v>
      </c>
      <c r="U74" s="118">
        <f>AG74</f>
        <v>8091.4507750952989</v>
      </c>
      <c r="V74" s="183">
        <f t="shared" si="2"/>
        <v>3507.7372840467051</v>
      </c>
      <c r="W74" s="183"/>
      <c r="X74" s="183"/>
      <c r="Y74" s="64" t="e">
        <f t="shared" si="3"/>
        <v>#N/A</v>
      </c>
      <c r="AA74" s="64" t="e">
        <f t="shared" si="4"/>
        <v>#N/A</v>
      </c>
      <c r="AC74" s="64" t="s">
        <v>1581</v>
      </c>
      <c r="AD74" s="64">
        <v>336</v>
      </c>
      <c r="AG74" s="64">
        <f>AH74*6191.24/J74</f>
        <v>8091.4507750952989</v>
      </c>
      <c r="AH74" s="64">
        <f t="shared" si="5"/>
        <v>1131.4000000000001</v>
      </c>
      <c r="AJ74" s="64" t="s">
        <v>122</v>
      </c>
      <c r="AK74" s="64">
        <v>366.6</v>
      </c>
      <c r="AS74" s="64" t="e">
        <f t="shared" si="6"/>
        <v>#N/A</v>
      </c>
      <c r="AU74" s="64" t="s">
        <v>442</v>
      </c>
      <c r="AV74" s="64">
        <v>2</v>
      </c>
    </row>
    <row r="75" spans="1:48" s="64" customFormat="1" ht="36" customHeight="1" x14ac:dyDescent="0.9">
      <c r="A75" s="64">
        <v>1</v>
      </c>
      <c r="B75" s="92">
        <f>SUBTOTAL(103,$A$16:A75)</f>
        <v>60</v>
      </c>
      <c r="C75" s="91" t="s">
        <v>1130</v>
      </c>
      <c r="D75" s="126">
        <v>1971</v>
      </c>
      <c r="E75" s="126"/>
      <c r="F75" s="145" t="s">
        <v>273</v>
      </c>
      <c r="G75" s="126">
        <v>5</v>
      </c>
      <c r="H75" s="126">
        <v>4</v>
      </c>
      <c r="I75" s="118">
        <v>4188.1000000000004</v>
      </c>
      <c r="J75" s="118">
        <v>3145.2</v>
      </c>
      <c r="K75" s="118">
        <v>3047.4</v>
      </c>
      <c r="L75" s="127">
        <v>153</v>
      </c>
      <c r="M75" s="126" t="s">
        <v>271</v>
      </c>
      <c r="N75" s="126" t="s">
        <v>275</v>
      </c>
      <c r="O75" s="124" t="s">
        <v>1691</v>
      </c>
      <c r="P75" s="118">
        <v>4778068.24</v>
      </c>
      <c r="Q75" s="118">
        <v>0</v>
      </c>
      <c r="R75" s="118">
        <v>0</v>
      </c>
      <c r="S75" s="118">
        <f t="shared" ref="S75:S114" si="10">P75-Q75-R75</f>
        <v>4778068.24</v>
      </c>
      <c r="T75" s="118">
        <f t="shared" si="0"/>
        <v>1140.8677538740717</v>
      </c>
      <c r="U75" s="118">
        <v>2937.373116580311</v>
      </c>
      <c r="V75" s="183">
        <f t="shared" si="2"/>
        <v>1796.5053627062393</v>
      </c>
      <c r="W75" s="183"/>
      <c r="X75" s="183"/>
      <c r="Y75" s="64" t="e">
        <f t="shared" si="3"/>
        <v>#N/A</v>
      </c>
      <c r="AA75" s="64" t="e">
        <f t="shared" si="4"/>
        <v>#N/A</v>
      </c>
      <c r="AC75" s="64" t="s">
        <v>1593</v>
      </c>
      <c r="AD75" s="64">
        <v>1500</v>
      </c>
      <c r="AH75" s="64" t="e">
        <f t="shared" si="5"/>
        <v>#N/A</v>
      </c>
      <c r="AJ75" s="64" t="s">
        <v>175</v>
      </c>
      <c r="AK75" s="64">
        <v>336</v>
      </c>
      <c r="AS75" s="64" t="e">
        <f t="shared" si="6"/>
        <v>#N/A</v>
      </c>
      <c r="AU75" s="64" t="s">
        <v>449</v>
      </c>
      <c r="AV75" s="64">
        <v>2</v>
      </c>
    </row>
    <row r="76" spans="1:48" s="64" customFormat="1" ht="36" customHeight="1" x14ac:dyDescent="0.9">
      <c r="A76" s="64">
        <v>1</v>
      </c>
      <c r="B76" s="92">
        <f>SUBTOTAL(103,$A$16:A76)</f>
        <v>61</v>
      </c>
      <c r="C76" s="91" t="s">
        <v>1131</v>
      </c>
      <c r="D76" s="126">
        <v>1969</v>
      </c>
      <c r="E76" s="126"/>
      <c r="F76" s="145" t="s">
        <v>273</v>
      </c>
      <c r="G76" s="126">
        <v>5</v>
      </c>
      <c r="H76" s="126">
        <v>4</v>
      </c>
      <c r="I76" s="118">
        <v>4279.8</v>
      </c>
      <c r="J76" s="118">
        <v>3264.2</v>
      </c>
      <c r="K76" s="118">
        <v>3174.6</v>
      </c>
      <c r="L76" s="127">
        <v>136</v>
      </c>
      <c r="M76" s="126" t="s">
        <v>271</v>
      </c>
      <c r="N76" s="126" t="s">
        <v>275</v>
      </c>
      <c r="O76" s="124" t="s">
        <v>1692</v>
      </c>
      <c r="P76" s="118">
        <v>3376797.5700000003</v>
      </c>
      <c r="Q76" s="118">
        <v>0</v>
      </c>
      <c r="R76" s="118">
        <v>0</v>
      </c>
      <c r="S76" s="118">
        <f t="shared" si="10"/>
        <v>3376797.5700000003</v>
      </c>
      <c r="T76" s="118">
        <f t="shared" si="0"/>
        <v>789.00826440487879</v>
      </c>
      <c r="U76" s="118">
        <f>Y76</f>
        <v>1183.5006308706013</v>
      </c>
      <c r="V76" s="183">
        <f t="shared" si="2"/>
        <v>394.49236646572251</v>
      </c>
      <c r="W76" s="183"/>
      <c r="X76" s="183"/>
      <c r="Y76" s="64">
        <f t="shared" si="3"/>
        <v>1183.5006308706013</v>
      </c>
      <c r="AA76" s="64">
        <f t="shared" si="4"/>
        <v>970</v>
      </c>
      <c r="AC76" s="64" t="s">
        <v>1594</v>
      </c>
      <c r="AD76" s="64">
        <v>1928</v>
      </c>
      <c r="AH76" s="64" t="e">
        <f t="shared" si="5"/>
        <v>#N/A</v>
      </c>
      <c r="AJ76" s="64" t="s">
        <v>186</v>
      </c>
      <c r="AK76" s="64">
        <v>403.2</v>
      </c>
      <c r="AS76" s="64" t="e">
        <f t="shared" si="6"/>
        <v>#N/A</v>
      </c>
      <c r="AU76" s="64" t="s">
        <v>839</v>
      </c>
      <c r="AV76" s="64">
        <v>3</v>
      </c>
    </row>
    <row r="77" spans="1:48" s="64" customFormat="1" ht="36" customHeight="1" x14ac:dyDescent="0.9">
      <c r="A77" s="64">
        <v>1</v>
      </c>
      <c r="B77" s="92">
        <f>SUBTOTAL(103,$A$16:A77)</f>
        <v>62</v>
      </c>
      <c r="C77" s="91" t="s">
        <v>1132</v>
      </c>
      <c r="D77" s="126">
        <v>1968</v>
      </c>
      <c r="E77" s="126"/>
      <c r="F77" s="145" t="s">
        <v>319</v>
      </c>
      <c r="G77" s="126">
        <v>5</v>
      </c>
      <c r="H77" s="126">
        <v>4</v>
      </c>
      <c r="I77" s="118">
        <v>3880.1</v>
      </c>
      <c r="J77" s="118">
        <v>3555.2</v>
      </c>
      <c r="K77" s="118">
        <v>3380.5</v>
      </c>
      <c r="L77" s="127">
        <v>167</v>
      </c>
      <c r="M77" s="126" t="s">
        <v>271</v>
      </c>
      <c r="N77" s="126" t="s">
        <v>275</v>
      </c>
      <c r="O77" s="124" t="s">
        <v>1102</v>
      </c>
      <c r="P77" s="118">
        <v>4374326.75</v>
      </c>
      <c r="Q77" s="118">
        <v>0</v>
      </c>
      <c r="R77" s="118">
        <v>0</v>
      </c>
      <c r="S77" s="118">
        <f t="shared" si="10"/>
        <v>4374326.75</v>
      </c>
      <c r="T77" s="118">
        <f t="shared" si="0"/>
        <v>1127.3747454962502</v>
      </c>
      <c r="U77" s="118">
        <f>Y77</f>
        <v>1364.0928017319143</v>
      </c>
      <c r="V77" s="183">
        <f t="shared" si="2"/>
        <v>236.71805623566411</v>
      </c>
      <c r="W77" s="183"/>
      <c r="X77" s="183"/>
      <c r="Y77" s="64">
        <f t="shared" si="3"/>
        <v>1364.0928017319143</v>
      </c>
      <c r="AA77" s="64">
        <f t="shared" si="4"/>
        <v>1013.6</v>
      </c>
      <c r="AC77" s="64" t="s">
        <v>1582</v>
      </c>
      <c r="AD77" s="64">
        <v>385</v>
      </c>
      <c r="AH77" s="64" t="e">
        <f t="shared" si="5"/>
        <v>#N/A</v>
      </c>
      <c r="AJ77" s="64" t="s">
        <v>1259</v>
      </c>
      <c r="AK77" s="64">
        <v>518.4</v>
      </c>
      <c r="AS77" s="64" t="e">
        <f t="shared" si="6"/>
        <v>#N/A</v>
      </c>
      <c r="AU77" s="64" t="s">
        <v>810</v>
      </c>
      <c r="AV77" s="64">
        <v>4</v>
      </c>
    </row>
    <row r="78" spans="1:48" s="64" customFormat="1" ht="36" customHeight="1" x14ac:dyDescent="0.9">
      <c r="A78" s="64">
        <v>1</v>
      </c>
      <c r="B78" s="92">
        <f>SUBTOTAL(103,$A$16:A78)</f>
        <v>63</v>
      </c>
      <c r="C78" s="91" t="s">
        <v>1133</v>
      </c>
      <c r="D78" s="126">
        <v>1968</v>
      </c>
      <c r="E78" s="126"/>
      <c r="F78" s="145" t="s">
        <v>319</v>
      </c>
      <c r="G78" s="126">
        <v>5</v>
      </c>
      <c r="H78" s="126">
        <v>3</v>
      </c>
      <c r="I78" s="118">
        <v>2807.5</v>
      </c>
      <c r="J78" s="118">
        <v>2603.5</v>
      </c>
      <c r="K78" s="118">
        <v>2603.5</v>
      </c>
      <c r="L78" s="127">
        <v>114</v>
      </c>
      <c r="M78" s="126" t="s">
        <v>271</v>
      </c>
      <c r="N78" s="126" t="s">
        <v>275</v>
      </c>
      <c r="O78" s="124" t="s">
        <v>1102</v>
      </c>
      <c r="P78" s="118">
        <v>3308655.5</v>
      </c>
      <c r="Q78" s="118">
        <v>0</v>
      </c>
      <c r="R78" s="118">
        <v>0</v>
      </c>
      <c r="S78" s="118">
        <f t="shared" si="10"/>
        <v>3308655.5</v>
      </c>
      <c r="T78" s="118">
        <f t="shared" ref="T78:T128" si="11">P78/I78</f>
        <v>1178.505966162066</v>
      </c>
      <c r="U78" s="118">
        <f>Y78</f>
        <v>1388.9523013357079</v>
      </c>
      <c r="V78" s="183">
        <f t="shared" si="2"/>
        <v>210.44633517364196</v>
      </c>
      <c r="W78" s="183"/>
      <c r="X78" s="183"/>
      <c r="Y78" s="64">
        <f t="shared" si="3"/>
        <v>1388.9523013357079</v>
      </c>
      <c r="AA78" s="64">
        <f t="shared" si="4"/>
        <v>746.77</v>
      </c>
      <c r="AC78" s="64" t="s">
        <v>1636</v>
      </c>
      <c r="AD78" s="64">
        <v>356</v>
      </c>
      <c r="AH78" s="64" t="e">
        <f t="shared" si="5"/>
        <v>#N/A</v>
      </c>
      <c r="AJ78" s="64" t="s">
        <v>1262</v>
      </c>
      <c r="AK78" s="64">
        <v>702.56</v>
      </c>
      <c r="AS78" s="64" t="e">
        <f t="shared" si="6"/>
        <v>#N/A</v>
      </c>
      <c r="AU78" s="64" t="s">
        <v>679</v>
      </c>
      <c r="AV78" s="64">
        <v>2</v>
      </c>
    </row>
    <row r="79" spans="1:48" s="64" customFormat="1" ht="36" customHeight="1" x14ac:dyDescent="0.9">
      <c r="A79" s="64">
        <v>1</v>
      </c>
      <c r="B79" s="92">
        <f>SUBTOTAL(103,$A$16:A79)</f>
        <v>64</v>
      </c>
      <c r="C79" s="91" t="s">
        <v>1135</v>
      </c>
      <c r="D79" s="126">
        <v>1959</v>
      </c>
      <c r="E79" s="126"/>
      <c r="F79" s="145" t="s">
        <v>273</v>
      </c>
      <c r="G79" s="126">
        <v>3</v>
      </c>
      <c r="H79" s="126">
        <v>3</v>
      </c>
      <c r="I79" s="118">
        <v>1338.5</v>
      </c>
      <c r="J79" s="118">
        <v>1165.2</v>
      </c>
      <c r="K79" s="118">
        <v>1165.2</v>
      </c>
      <c r="L79" s="127">
        <v>41</v>
      </c>
      <c r="M79" s="126" t="s">
        <v>271</v>
      </c>
      <c r="N79" s="126" t="s">
        <v>275</v>
      </c>
      <c r="O79" s="124" t="s">
        <v>1354</v>
      </c>
      <c r="P79" s="118">
        <v>5678840</v>
      </c>
      <c r="Q79" s="118">
        <v>0</v>
      </c>
      <c r="R79" s="118">
        <v>0</v>
      </c>
      <c r="S79" s="118">
        <f t="shared" si="10"/>
        <v>5678840</v>
      </c>
      <c r="T79" s="118">
        <f t="shared" si="11"/>
        <v>4242.6895778856933</v>
      </c>
      <c r="U79" s="118">
        <f>AG79</f>
        <v>7137.0353312736006</v>
      </c>
      <c r="V79" s="183">
        <f t="shared" si="2"/>
        <v>2894.3457533879073</v>
      </c>
      <c r="W79" s="183"/>
      <c r="X79" s="183"/>
      <c r="Y79" s="64" t="e">
        <f t="shared" si="3"/>
        <v>#N/A</v>
      </c>
      <c r="AA79" s="64" t="e">
        <f t="shared" si="4"/>
        <v>#N/A</v>
      </c>
      <c r="AC79" s="64" t="s">
        <v>1638</v>
      </c>
      <c r="AD79" s="64">
        <v>1119</v>
      </c>
      <c r="AG79" s="64">
        <f>AH79*6191.24/J79</f>
        <v>7137.0353312736006</v>
      </c>
      <c r="AH79" s="64">
        <f t="shared" si="5"/>
        <v>1343.2</v>
      </c>
      <c r="AJ79" s="64" t="s">
        <v>1274</v>
      </c>
      <c r="AK79" s="64">
        <v>858.98</v>
      </c>
      <c r="AS79" s="64" t="e">
        <f t="shared" si="6"/>
        <v>#N/A</v>
      </c>
    </row>
    <row r="80" spans="1:48" s="64" customFormat="1" ht="36" customHeight="1" x14ac:dyDescent="0.9">
      <c r="A80" s="64">
        <v>1</v>
      </c>
      <c r="B80" s="92">
        <f>SUBTOTAL(103,$A$16:A80)</f>
        <v>65</v>
      </c>
      <c r="C80" s="91" t="s">
        <v>1136</v>
      </c>
      <c r="D80" s="126">
        <v>1974</v>
      </c>
      <c r="E80" s="126"/>
      <c r="F80" s="145" t="s">
        <v>319</v>
      </c>
      <c r="G80" s="126">
        <v>5</v>
      </c>
      <c r="H80" s="126">
        <v>5</v>
      </c>
      <c r="I80" s="118">
        <v>3386</v>
      </c>
      <c r="J80" s="118">
        <v>3284.4</v>
      </c>
      <c r="K80" s="118">
        <v>3120.2</v>
      </c>
      <c r="L80" s="127">
        <v>195</v>
      </c>
      <c r="M80" s="126" t="s">
        <v>271</v>
      </c>
      <c r="N80" s="126" t="s">
        <v>275</v>
      </c>
      <c r="O80" s="124" t="s">
        <v>1693</v>
      </c>
      <c r="P80" s="118">
        <v>2287681.02</v>
      </c>
      <c r="Q80" s="118">
        <v>0</v>
      </c>
      <c r="R80" s="118">
        <v>0</v>
      </c>
      <c r="S80" s="118">
        <f t="shared" si="10"/>
        <v>2287681.02</v>
      </c>
      <c r="T80" s="118">
        <f t="shared" si="11"/>
        <v>675.62936207914947</v>
      </c>
      <c r="U80" s="118">
        <f>Y80</f>
        <v>1440.544412285883</v>
      </c>
      <c r="V80" s="183">
        <f t="shared" si="2"/>
        <v>764.91505020673355</v>
      </c>
      <c r="W80" s="183"/>
      <c r="X80" s="183"/>
      <c r="Y80" s="64">
        <f t="shared" si="3"/>
        <v>1440.544412285883</v>
      </c>
      <c r="AA80" s="64">
        <f t="shared" si="4"/>
        <v>934.1</v>
      </c>
      <c r="AC80" s="64" t="s">
        <v>1640</v>
      </c>
      <c r="AD80" s="64">
        <v>707</v>
      </c>
      <c r="AH80" s="64" t="e">
        <f t="shared" si="5"/>
        <v>#N/A</v>
      </c>
      <c r="AJ80" s="64" t="s">
        <v>1277</v>
      </c>
      <c r="AK80" s="64">
        <v>2886.45</v>
      </c>
      <c r="AS80" s="64" t="e">
        <f t="shared" si="6"/>
        <v>#N/A</v>
      </c>
    </row>
    <row r="81" spans="1:45" s="64" customFormat="1" ht="36" customHeight="1" x14ac:dyDescent="0.9">
      <c r="A81" s="64">
        <v>1</v>
      </c>
      <c r="B81" s="92">
        <f>SUBTOTAL(103,$A$16:A81)</f>
        <v>66</v>
      </c>
      <c r="C81" s="91" t="s">
        <v>1137</v>
      </c>
      <c r="D81" s="126">
        <v>1959</v>
      </c>
      <c r="E81" s="126"/>
      <c r="F81" s="145" t="s">
        <v>273</v>
      </c>
      <c r="G81" s="126">
        <v>2</v>
      </c>
      <c r="H81" s="126">
        <v>1</v>
      </c>
      <c r="I81" s="118">
        <v>445.1</v>
      </c>
      <c r="J81" s="118">
        <v>400.5</v>
      </c>
      <c r="K81" s="118">
        <v>201.2</v>
      </c>
      <c r="L81" s="127">
        <v>21</v>
      </c>
      <c r="M81" s="126" t="s">
        <v>271</v>
      </c>
      <c r="N81" s="126" t="s">
        <v>275</v>
      </c>
      <c r="O81" s="124" t="s">
        <v>1354</v>
      </c>
      <c r="P81" s="118">
        <v>2373191.6399999997</v>
      </c>
      <c r="Q81" s="118">
        <v>0</v>
      </c>
      <c r="R81" s="118">
        <v>0</v>
      </c>
      <c r="S81" s="118">
        <f t="shared" si="10"/>
        <v>2373191.6399999997</v>
      </c>
      <c r="T81" s="118">
        <f t="shared" si="11"/>
        <v>5331.8167602785879</v>
      </c>
      <c r="U81" s="118">
        <f>AG81</f>
        <v>7644.364993757802</v>
      </c>
      <c r="V81" s="183">
        <f t="shared" ref="V81:V144" si="12">U81-T81</f>
        <v>2312.5482334792141</v>
      </c>
      <c r="W81" s="183"/>
      <c r="X81" s="183"/>
      <c r="Y81" s="64" t="e">
        <f t="shared" ref="Y81:Y144" si="13">AA81*5221.8/I81</f>
        <v>#N/A</v>
      </c>
      <c r="AA81" s="64" t="e">
        <f t="shared" ref="AA81:AA144" si="14">VLOOKUP(C81,AC:AE,2,FALSE)</f>
        <v>#N/A</v>
      </c>
      <c r="AC81" s="64" t="s">
        <v>1663</v>
      </c>
      <c r="AD81" s="64">
        <v>502</v>
      </c>
      <c r="AG81" s="64">
        <f>AH81*6191.24/J81</f>
        <v>7644.364993757802</v>
      </c>
      <c r="AH81" s="64">
        <f t="shared" ref="AH81:AH144" si="15">VLOOKUP(C81,AJ:AK,2,FALSE)</f>
        <v>494.5</v>
      </c>
      <c r="AJ81" s="64" t="s">
        <v>1292</v>
      </c>
      <c r="AK81" s="64">
        <v>316.60000000000002</v>
      </c>
      <c r="AS81" s="64" t="e">
        <f t="shared" ref="AS81:AS144" si="16">VLOOKUP(C81,AU:AV,2,FALSE)</f>
        <v>#N/A</v>
      </c>
    </row>
    <row r="82" spans="1:45" s="64" customFormat="1" ht="36" customHeight="1" x14ac:dyDescent="0.9">
      <c r="A82" s="64">
        <v>1</v>
      </c>
      <c r="B82" s="92">
        <f>SUBTOTAL(103,$A$16:A82)</f>
        <v>67</v>
      </c>
      <c r="C82" s="91" t="s">
        <v>1138</v>
      </c>
      <c r="D82" s="126">
        <v>1972</v>
      </c>
      <c r="E82" s="126"/>
      <c r="F82" s="145" t="s">
        <v>273</v>
      </c>
      <c r="G82" s="126">
        <v>5</v>
      </c>
      <c r="H82" s="126">
        <v>4</v>
      </c>
      <c r="I82" s="118">
        <v>4186</v>
      </c>
      <c r="J82" s="118">
        <v>3864.2</v>
      </c>
      <c r="K82" s="118">
        <v>2705.8</v>
      </c>
      <c r="L82" s="127">
        <v>111</v>
      </c>
      <c r="M82" s="126" t="s">
        <v>271</v>
      </c>
      <c r="N82" s="126" t="s">
        <v>275</v>
      </c>
      <c r="O82" s="124" t="s">
        <v>1102</v>
      </c>
      <c r="P82" s="118">
        <v>3730864.3</v>
      </c>
      <c r="Q82" s="118">
        <v>0</v>
      </c>
      <c r="R82" s="118">
        <v>0</v>
      </c>
      <c r="S82" s="118">
        <f t="shared" si="10"/>
        <v>3730864.3</v>
      </c>
      <c r="T82" s="118">
        <f t="shared" si="11"/>
        <v>891.27193024366932</v>
      </c>
      <c r="U82" s="118">
        <f>Y82</f>
        <v>1938.9019923554706</v>
      </c>
      <c r="V82" s="183">
        <f t="shared" si="12"/>
        <v>1047.6300621118012</v>
      </c>
      <c r="W82" s="183"/>
      <c r="X82" s="183"/>
      <c r="Y82" s="64">
        <f t="shared" si="13"/>
        <v>1938.9019923554706</v>
      </c>
      <c r="AA82" s="64">
        <f t="shared" si="14"/>
        <v>1554.3</v>
      </c>
      <c r="AC82" s="64" t="s">
        <v>1665</v>
      </c>
      <c r="AD82" s="64">
        <v>665</v>
      </c>
      <c r="AH82" s="64" t="e">
        <f t="shared" si="15"/>
        <v>#N/A</v>
      </c>
      <c r="AJ82" s="64" t="s">
        <v>1065</v>
      </c>
      <c r="AK82" s="64">
        <v>119.3</v>
      </c>
      <c r="AS82" s="64" t="e">
        <f t="shared" si="16"/>
        <v>#N/A</v>
      </c>
    </row>
    <row r="83" spans="1:45" s="64" customFormat="1" ht="36" customHeight="1" x14ac:dyDescent="0.9">
      <c r="A83" s="64">
        <v>1</v>
      </c>
      <c r="B83" s="92">
        <f>SUBTOTAL(103,$A$16:A83)</f>
        <v>68</v>
      </c>
      <c r="C83" s="91" t="s">
        <v>1139</v>
      </c>
      <c r="D83" s="126">
        <v>1969</v>
      </c>
      <c r="E83" s="126"/>
      <c r="F83" s="145" t="s">
        <v>273</v>
      </c>
      <c r="G83" s="126">
        <v>9</v>
      </c>
      <c r="H83" s="126">
        <v>1</v>
      </c>
      <c r="I83" s="118">
        <v>3340.9</v>
      </c>
      <c r="J83" s="118">
        <v>3067.1</v>
      </c>
      <c r="K83" s="118">
        <v>1971.8</v>
      </c>
      <c r="L83" s="127">
        <v>77</v>
      </c>
      <c r="M83" s="126" t="s">
        <v>271</v>
      </c>
      <c r="N83" s="126" t="s">
        <v>275</v>
      </c>
      <c r="O83" s="124" t="s">
        <v>1102</v>
      </c>
      <c r="P83" s="118">
        <v>2982453.63</v>
      </c>
      <c r="Q83" s="118">
        <v>0</v>
      </c>
      <c r="R83" s="118">
        <v>0</v>
      </c>
      <c r="S83" s="118">
        <f t="shared" si="10"/>
        <v>2982453.63</v>
      </c>
      <c r="T83" s="118">
        <f t="shared" si="11"/>
        <v>892.7096381214642</v>
      </c>
      <c r="U83" s="118">
        <f>T83</f>
        <v>892.7096381214642</v>
      </c>
      <c r="V83" s="183">
        <f t="shared" si="12"/>
        <v>0</v>
      </c>
      <c r="W83" s="183"/>
      <c r="X83" s="183"/>
      <c r="Y83" s="64">
        <f t="shared" si="13"/>
        <v>703.34640366368342</v>
      </c>
      <c r="AA83" s="64">
        <f t="shared" si="14"/>
        <v>450</v>
      </c>
      <c r="AC83" s="64" t="s">
        <v>453</v>
      </c>
      <c r="AD83" s="64">
        <v>598</v>
      </c>
      <c r="AH83" s="64" t="e">
        <f t="shared" si="15"/>
        <v>#N/A</v>
      </c>
      <c r="AJ83" s="64" t="s">
        <v>91</v>
      </c>
      <c r="AK83" s="64">
        <v>142.1</v>
      </c>
      <c r="AS83" s="64" t="e">
        <f t="shared" si="16"/>
        <v>#N/A</v>
      </c>
    </row>
    <row r="84" spans="1:45" s="64" customFormat="1" ht="36" customHeight="1" x14ac:dyDescent="0.9">
      <c r="A84" s="64">
        <v>1</v>
      </c>
      <c r="B84" s="92">
        <f>SUBTOTAL(103,$A$16:A84)</f>
        <v>69</v>
      </c>
      <c r="C84" s="91" t="s">
        <v>1140</v>
      </c>
      <c r="D84" s="126">
        <v>1968</v>
      </c>
      <c r="E84" s="126"/>
      <c r="F84" s="145" t="s">
        <v>273</v>
      </c>
      <c r="G84" s="126">
        <v>9</v>
      </c>
      <c r="H84" s="126">
        <v>1</v>
      </c>
      <c r="I84" s="118">
        <v>3060.1</v>
      </c>
      <c r="J84" s="118">
        <v>2799.7</v>
      </c>
      <c r="K84" s="118">
        <v>2031.6</v>
      </c>
      <c r="L84" s="127">
        <v>100</v>
      </c>
      <c r="M84" s="126" t="s">
        <v>271</v>
      </c>
      <c r="N84" s="126" t="s">
        <v>275</v>
      </c>
      <c r="O84" s="124" t="s">
        <v>1102</v>
      </c>
      <c r="P84" s="118">
        <v>1571848.57</v>
      </c>
      <c r="Q84" s="118">
        <v>0</v>
      </c>
      <c r="R84" s="118">
        <v>0</v>
      </c>
      <c r="S84" s="118">
        <f t="shared" si="10"/>
        <v>1571848.57</v>
      </c>
      <c r="T84" s="118">
        <f t="shared" si="11"/>
        <v>513.65921701905165</v>
      </c>
      <c r="U84" s="118">
        <f>Y84</f>
        <v>767.88667037024936</v>
      </c>
      <c r="V84" s="183">
        <f t="shared" si="12"/>
        <v>254.22745335119771</v>
      </c>
      <c r="W84" s="183"/>
      <c r="X84" s="183"/>
      <c r="Y84" s="64">
        <f t="shared" si="13"/>
        <v>767.88667037024936</v>
      </c>
      <c r="AA84" s="64">
        <f t="shared" si="14"/>
        <v>450</v>
      </c>
      <c r="AC84" s="64" t="s">
        <v>454</v>
      </c>
      <c r="AD84" s="64">
        <v>592.20000000000005</v>
      </c>
      <c r="AH84" s="64" t="e">
        <f t="shared" si="15"/>
        <v>#N/A</v>
      </c>
      <c r="AJ84" s="64" t="s">
        <v>1294</v>
      </c>
      <c r="AK84" s="64">
        <v>438.75</v>
      </c>
      <c r="AS84" s="64" t="e">
        <f t="shared" si="16"/>
        <v>#N/A</v>
      </c>
    </row>
    <row r="85" spans="1:45" s="64" customFormat="1" ht="36" customHeight="1" x14ac:dyDescent="0.9">
      <c r="A85" s="64">
        <v>1</v>
      </c>
      <c r="B85" s="92">
        <f>SUBTOTAL(103,$A$16:A85)</f>
        <v>70</v>
      </c>
      <c r="C85" s="91" t="s">
        <v>1141</v>
      </c>
      <c r="D85" s="126">
        <v>1968</v>
      </c>
      <c r="E85" s="126"/>
      <c r="F85" s="145" t="s">
        <v>273</v>
      </c>
      <c r="G85" s="126">
        <v>9</v>
      </c>
      <c r="H85" s="126">
        <v>1</v>
      </c>
      <c r="I85" s="118">
        <v>3130.4</v>
      </c>
      <c r="J85" s="118">
        <v>2830</v>
      </c>
      <c r="K85" s="118">
        <v>1981.8</v>
      </c>
      <c r="L85" s="127">
        <v>82</v>
      </c>
      <c r="M85" s="126" t="s">
        <v>271</v>
      </c>
      <c r="N85" s="126" t="s">
        <v>275</v>
      </c>
      <c r="O85" s="124" t="s">
        <v>1102</v>
      </c>
      <c r="P85" s="118">
        <v>1564566.8</v>
      </c>
      <c r="Q85" s="118">
        <v>0</v>
      </c>
      <c r="R85" s="118">
        <v>0</v>
      </c>
      <c r="S85" s="118">
        <f t="shared" si="10"/>
        <v>1564566.8</v>
      </c>
      <c r="T85" s="118">
        <f t="shared" si="11"/>
        <v>499.79772553028369</v>
      </c>
      <c r="U85" s="118">
        <f>Y85</f>
        <v>750.64209046767189</v>
      </c>
      <c r="V85" s="183">
        <f t="shared" si="12"/>
        <v>250.84436493738821</v>
      </c>
      <c r="W85" s="183"/>
      <c r="X85" s="183"/>
      <c r="Y85" s="64">
        <f t="shared" si="13"/>
        <v>750.64209046767189</v>
      </c>
      <c r="AA85" s="64">
        <f t="shared" si="14"/>
        <v>450</v>
      </c>
      <c r="AC85" s="64" t="s">
        <v>457</v>
      </c>
      <c r="AD85" s="64">
        <v>603.71</v>
      </c>
      <c r="AH85" s="64" t="e">
        <f t="shared" si="15"/>
        <v>#N/A</v>
      </c>
      <c r="AJ85" s="64" t="s">
        <v>1295</v>
      </c>
      <c r="AK85" s="64">
        <v>729.1</v>
      </c>
      <c r="AS85" s="64" t="e">
        <f t="shared" si="16"/>
        <v>#N/A</v>
      </c>
    </row>
    <row r="86" spans="1:45" s="64" customFormat="1" ht="36" customHeight="1" x14ac:dyDescent="0.9">
      <c r="A86" s="64">
        <v>1</v>
      </c>
      <c r="B86" s="92">
        <f>SUBTOTAL(103,$A$16:A86)</f>
        <v>71</v>
      </c>
      <c r="C86" s="91" t="s">
        <v>1142</v>
      </c>
      <c r="D86" s="126">
        <v>1991</v>
      </c>
      <c r="E86" s="126"/>
      <c r="F86" s="145" t="s">
        <v>273</v>
      </c>
      <c r="G86" s="126">
        <v>10</v>
      </c>
      <c r="H86" s="126">
        <v>2</v>
      </c>
      <c r="I86" s="118">
        <v>5646.2</v>
      </c>
      <c r="J86" s="118">
        <v>4982.1000000000004</v>
      </c>
      <c r="K86" s="118">
        <v>4319</v>
      </c>
      <c r="L86" s="127">
        <v>264</v>
      </c>
      <c r="M86" s="126" t="s">
        <v>271</v>
      </c>
      <c r="N86" s="126" t="s">
        <v>275</v>
      </c>
      <c r="O86" s="124" t="s">
        <v>1415</v>
      </c>
      <c r="P86" s="118">
        <v>2880785.14</v>
      </c>
      <c r="Q86" s="118">
        <v>0</v>
      </c>
      <c r="R86" s="118">
        <v>0</v>
      </c>
      <c r="S86" s="118">
        <f t="shared" si="10"/>
        <v>2880785.14</v>
      </c>
      <c r="T86" s="118">
        <f t="shared" si="11"/>
        <v>510.21663065424536</v>
      </c>
      <c r="U86" s="118">
        <f>AR86</f>
        <v>770.10768304346288</v>
      </c>
      <c r="V86" s="183">
        <f t="shared" si="12"/>
        <v>259.89105238921752</v>
      </c>
      <c r="W86" s="183"/>
      <c r="X86" s="183"/>
      <c r="Y86" s="64" t="e">
        <f t="shared" si="13"/>
        <v>#N/A</v>
      </c>
      <c r="AA86" s="64" t="e">
        <f t="shared" si="14"/>
        <v>#N/A</v>
      </c>
      <c r="AC86" s="64" t="s">
        <v>458</v>
      </c>
      <c r="AD86" s="64">
        <v>588.4</v>
      </c>
      <c r="AH86" s="64" t="e">
        <f t="shared" si="15"/>
        <v>#N/A</v>
      </c>
      <c r="AJ86" s="64" t="s">
        <v>1597</v>
      </c>
      <c r="AK86" s="64">
        <v>2869</v>
      </c>
      <c r="AR86" s="64">
        <f>AS86*2174091/I86</f>
        <v>770.10768304346288</v>
      </c>
      <c r="AS86" s="64">
        <f t="shared" si="16"/>
        <v>2</v>
      </c>
    </row>
    <row r="87" spans="1:45" s="64" customFormat="1" ht="36" customHeight="1" x14ac:dyDescent="0.9">
      <c r="A87" s="64">
        <v>1</v>
      </c>
      <c r="B87" s="92">
        <f>SUBTOTAL(103,$A$16:A87)</f>
        <v>72</v>
      </c>
      <c r="C87" s="91" t="s">
        <v>1143</v>
      </c>
      <c r="D87" s="126">
        <v>1984</v>
      </c>
      <c r="E87" s="126"/>
      <c r="F87" s="145" t="s">
        <v>319</v>
      </c>
      <c r="G87" s="126">
        <v>16</v>
      </c>
      <c r="H87" s="126">
        <v>1</v>
      </c>
      <c r="I87" s="118">
        <v>5474.9</v>
      </c>
      <c r="J87" s="118">
        <v>4635.7</v>
      </c>
      <c r="K87" s="118">
        <v>4362.7</v>
      </c>
      <c r="L87" s="127">
        <v>218</v>
      </c>
      <c r="M87" s="126" t="s">
        <v>271</v>
      </c>
      <c r="N87" s="126" t="s">
        <v>275</v>
      </c>
      <c r="O87" s="124" t="s">
        <v>1415</v>
      </c>
      <c r="P87" s="118">
        <v>3859190.52</v>
      </c>
      <c r="Q87" s="118">
        <v>0</v>
      </c>
      <c r="R87" s="118">
        <v>0</v>
      </c>
      <c r="S87" s="118">
        <f t="shared" si="10"/>
        <v>3859190.52</v>
      </c>
      <c r="T87" s="118">
        <f t="shared" si="11"/>
        <v>704.88785548594501</v>
      </c>
      <c r="U87" s="118">
        <f>AR87</f>
        <v>965.90659190122199</v>
      </c>
      <c r="V87" s="183">
        <f t="shared" si="12"/>
        <v>261.01873641527698</v>
      </c>
      <c r="W87" s="183"/>
      <c r="X87" s="183"/>
      <c r="Y87" s="64" t="e">
        <f t="shared" si="13"/>
        <v>#N/A</v>
      </c>
      <c r="AA87" s="64" t="e">
        <f t="shared" si="14"/>
        <v>#N/A</v>
      </c>
      <c r="AC87" s="64" t="s">
        <v>459</v>
      </c>
      <c r="AD87" s="64">
        <v>555.39</v>
      </c>
      <c r="AH87" s="64" t="e">
        <f t="shared" si="15"/>
        <v>#N/A</v>
      </c>
      <c r="AJ87" s="64" t="s">
        <v>1319</v>
      </c>
      <c r="AK87" s="64">
        <v>109</v>
      </c>
      <c r="AR87" s="64">
        <f>AS87*2644121/I87</f>
        <v>965.90659190122199</v>
      </c>
      <c r="AS87" s="64">
        <f t="shared" si="16"/>
        <v>2</v>
      </c>
    </row>
    <row r="88" spans="1:45" s="64" customFormat="1" ht="36" customHeight="1" x14ac:dyDescent="0.9">
      <c r="A88" s="64">
        <v>1</v>
      </c>
      <c r="B88" s="92">
        <f>SUBTOTAL(103,$A$16:A88)</f>
        <v>73</v>
      </c>
      <c r="C88" s="91" t="s">
        <v>1146</v>
      </c>
      <c r="D88" s="126">
        <v>1932</v>
      </c>
      <c r="E88" s="126"/>
      <c r="F88" s="145" t="s">
        <v>273</v>
      </c>
      <c r="G88" s="126">
        <v>4</v>
      </c>
      <c r="H88" s="126">
        <v>3</v>
      </c>
      <c r="I88" s="118">
        <v>2131.17</v>
      </c>
      <c r="J88" s="118">
        <v>1905.67</v>
      </c>
      <c r="K88" s="118">
        <v>1212.8</v>
      </c>
      <c r="L88" s="127">
        <v>77</v>
      </c>
      <c r="M88" s="126" t="s">
        <v>271</v>
      </c>
      <c r="N88" s="126" t="s">
        <v>275</v>
      </c>
      <c r="O88" s="124" t="s">
        <v>1354</v>
      </c>
      <c r="P88" s="118">
        <v>424166.91999999993</v>
      </c>
      <c r="Q88" s="118">
        <v>0</v>
      </c>
      <c r="R88" s="118">
        <v>0</v>
      </c>
      <c r="S88" s="118">
        <f t="shared" si="10"/>
        <v>424166.91999999993</v>
      </c>
      <c r="T88" s="118">
        <f t="shared" si="11"/>
        <v>199.03007268308014</v>
      </c>
      <c r="U88" s="118">
        <f>T88</f>
        <v>199.03007268308014</v>
      </c>
      <c r="V88" s="183">
        <f t="shared" si="12"/>
        <v>0</v>
      </c>
      <c r="W88" s="183"/>
      <c r="X88" s="183"/>
      <c r="Y88" s="64" t="e">
        <f t="shared" si="13"/>
        <v>#N/A</v>
      </c>
      <c r="AA88" s="64" t="e">
        <f t="shared" si="14"/>
        <v>#N/A</v>
      </c>
      <c r="AC88" s="64" t="s">
        <v>460</v>
      </c>
      <c r="AD88" s="64">
        <v>577</v>
      </c>
      <c r="AH88" s="64" t="e">
        <f t="shared" si="15"/>
        <v>#N/A</v>
      </c>
      <c r="AJ88" s="64" t="s">
        <v>560</v>
      </c>
      <c r="AK88" s="64">
        <v>940.98</v>
      </c>
      <c r="AS88" s="64" t="e">
        <f t="shared" si="16"/>
        <v>#N/A</v>
      </c>
    </row>
    <row r="89" spans="1:45" s="64" customFormat="1" ht="36" customHeight="1" x14ac:dyDescent="0.9">
      <c r="A89" s="64">
        <v>1</v>
      </c>
      <c r="B89" s="92">
        <f>SUBTOTAL(103,$A$16:A89)</f>
        <v>74</v>
      </c>
      <c r="C89" s="91" t="s">
        <v>1152</v>
      </c>
      <c r="D89" s="126">
        <v>1946</v>
      </c>
      <c r="E89" s="126"/>
      <c r="F89" s="145" t="s">
        <v>273</v>
      </c>
      <c r="G89" s="126">
        <v>3</v>
      </c>
      <c r="H89" s="126">
        <v>3</v>
      </c>
      <c r="I89" s="118">
        <v>2194.1999999999998</v>
      </c>
      <c r="J89" s="118">
        <v>1984.8</v>
      </c>
      <c r="K89" s="118">
        <v>1584.8</v>
      </c>
      <c r="L89" s="127">
        <v>31</v>
      </c>
      <c r="M89" s="126" t="s">
        <v>271</v>
      </c>
      <c r="N89" s="126" t="s">
        <v>275</v>
      </c>
      <c r="O89" s="124" t="s">
        <v>1694</v>
      </c>
      <c r="P89" s="118">
        <v>4258940</v>
      </c>
      <c r="Q89" s="118">
        <v>0</v>
      </c>
      <c r="R89" s="118">
        <v>0</v>
      </c>
      <c r="S89" s="118">
        <f t="shared" si="10"/>
        <v>4258940</v>
      </c>
      <c r="T89" s="118">
        <f t="shared" si="11"/>
        <v>1940.9989973566678</v>
      </c>
      <c r="U89" s="118">
        <f>Y89</f>
        <v>2142.5515176374079</v>
      </c>
      <c r="V89" s="183">
        <f t="shared" si="12"/>
        <v>201.55252028074005</v>
      </c>
      <c r="W89" s="183"/>
      <c r="X89" s="183"/>
      <c r="Y89" s="64">
        <f t="shared" si="13"/>
        <v>2142.5515176374079</v>
      </c>
      <c r="AA89" s="64">
        <f t="shared" si="14"/>
        <v>900.3</v>
      </c>
      <c r="AC89" s="64" t="s">
        <v>461</v>
      </c>
      <c r="AD89" s="64">
        <v>567.62</v>
      </c>
      <c r="AH89" s="64" t="e">
        <f t="shared" si="15"/>
        <v>#N/A</v>
      </c>
      <c r="AJ89" s="64" t="s">
        <v>564</v>
      </c>
      <c r="AK89" s="64">
        <v>1047.25</v>
      </c>
      <c r="AS89" s="64" t="e">
        <f t="shared" si="16"/>
        <v>#N/A</v>
      </c>
    </row>
    <row r="90" spans="1:45" s="64" customFormat="1" ht="36" customHeight="1" x14ac:dyDescent="0.9">
      <c r="A90" s="64">
        <v>1</v>
      </c>
      <c r="B90" s="92">
        <f>SUBTOTAL(103,$A$16:A90)</f>
        <v>75</v>
      </c>
      <c r="C90" s="91" t="s">
        <v>1153</v>
      </c>
      <c r="D90" s="126">
        <v>1949</v>
      </c>
      <c r="E90" s="126"/>
      <c r="F90" s="145" t="s">
        <v>273</v>
      </c>
      <c r="G90" s="126" t="s">
        <v>311</v>
      </c>
      <c r="H90" s="126" t="s">
        <v>311</v>
      </c>
      <c r="I90" s="118">
        <v>938.97</v>
      </c>
      <c r="J90" s="118">
        <v>864.07</v>
      </c>
      <c r="K90" s="118">
        <v>649.77</v>
      </c>
      <c r="L90" s="127">
        <v>19</v>
      </c>
      <c r="M90" s="126" t="s">
        <v>271</v>
      </c>
      <c r="N90" s="126" t="s">
        <v>275</v>
      </c>
      <c r="O90" s="124" t="s">
        <v>1414</v>
      </c>
      <c r="P90" s="118">
        <v>3712372.02</v>
      </c>
      <c r="Q90" s="118">
        <v>0</v>
      </c>
      <c r="R90" s="118">
        <v>0</v>
      </c>
      <c r="S90" s="118">
        <f t="shared" si="10"/>
        <v>3712372.02</v>
      </c>
      <c r="T90" s="118">
        <f t="shared" si="11"/>
        <v>3953.664142624365</v>
      </c>
      <c r="U90" s="118">
        <f>AG90</f>
        <v>5875.4693485481494</v>
      </c>
      <c r="V90" s="183">
        <f t="shared" si="12"/>
        <v>1921.8052059237843</v>
      </c>
      <c r="W90" s="183"/>
      <c r="X90" s="183"/>
      <c r="Y90" s="64" t="e">
        <f t="shared" si="13"/>
        <v>#N/A</v>
      </c>
      <c r="AA90" s="64" t="e">
        <f t="shared" si="14"/>
        <v>#N/A</v>
      </c>
      <c r="AC90" s="64" t="s">
        <v>462</v>
      </c>
      <c r="AD90" s="64">
        <v>865.12</v>
      </c>
      <c r="AG90" s="64">
        <f>AH90*6191.24/J90</f>
        <v>5875.4693485481494</v>
      </c>
      <c r="AH90" s="64">
        <f t="shared" si="15"/>
        <v>820</v>
      </c>
      <c r="AJ90" s="64" t="s">
        <v>510</v>
      </c>
      <c r="AK90" s="64">
        <v>2002</v>
      </c>
      <c r="AS90" s="64" t="e">
        <f t="shared" si="16"/>
        <v>#N/A</v>
      </c>
    </row>
    <row r="91" spans="1:45" s="64" customFormat="1" ht="36" customHeight="1" x14ac:dyDescent="0.9">
      <c r="A91" s="64">
        <v>1</v>
      </c>
      <c r="B91" s="92">
        <f>SUBTOTAL(103,$A$16:A91)</f>
        <v>76</v>
      </c>
      <c r="C91" s="91" t="s">
        <v>1154</v>
      </c>
      <c r="D91" s="126">
        <v>1958</v>
      </c>
      <c r="E91" s="126"/>
      <c r="F91" s="145" t="s">
        <v>273</v>
      </c>
      <c r="G91" s="126">
        <v>2</v>
      </c>
      <c r="H91" s="126">
        <v>1</v>
      </c>
      <c r="I91" s="118">
        <v>429.6</v>
      </c>
      <c r="J91" s="118">
        <v>389</v>
      </c>
      <c r="K91" s="118">
        <v>344.8</v>
      </c>
      <c r="L91" s="127">
        <v>28</v>
      </c>
      <c r="M91" s="126" t="s">
        <v>271</v>
      </c>
      <c r="N91" s="126" t="s">
        <v>275</v>
      </c>
      <c r="O91" s="124" t="s">
        <v>1354</v>
      </c>
      <c r="P91" s="118">
        <v>1900391.55</v>
      </c>
      <c r="Q91" s="118">
        <v>0</v>
      </c>
      <c r="R91" s="118">
        <v>0</v>
      </c>
      <c r="S91" s="118">
        <f t="shared" si="10"/>
        <v>1900391.55</v>
      </c>
      <c r="T91" s="118">
        <f t="shared" si="11"/>
        <v>4423.6302374301677</v>
      </c>
      <c r="U91" s="118">
        <f>AG91</f>
        <v>8132.9656555269912</v>
      </c>
      <c r="V91" s="183">
        <f t="shared" si="12"/>
        <v>3709.3354180968236</v>
      </c>
      <c r="W91" s="183"/>
      <c r="X91" s="183"/>
      <c r="Y91" s="64" t="e">
        <f t="shared" si="13"/>
        <v>#N/A</v>
      </c>
      <c r="AA91" s="64" t="e">
        <f t="shared" si="14"/>
        <v>#N/A</v>
      </c>
      <c r="AC91" s="64" t="s">
        <v>463</v>
      </c>
      <c r="AD91" s="64">
        <v>556.79999999999995</v>
      </c>
      <c r="AG91" s="64">
        <f>AH91*6191.24/J91</f>
        <v>8132.9656555269912</v>
      </c>
      <c r="AH91" s="64">
        <f t="shared" si="15"/>
        <v>511</v>
      </c>
      <c r="AJ91" s="64" t="s">
        <v>1095</v>
      </c>
      <c r="AK91" s="64">
        <v>860</v>
      </c>
      <c r="AS91" s="64" t="e">
        <f t="shared" si="16"/>
        <v>#N/A</v>
      </c>
    </row>
    <row r="92" spans="1:45" s="64" customFormat="1" ht="36" customHeight="1" x14ac:dyDescent="0.9">
      <c r="A92" s="64">
        <v>1</v>
      </c>
      <c r="B92" s="92">
        <f>SUBTOTAL(103,$A$16:A92)</f>
        <v>77</v>
      </c>
      <c r="C92" s="91" t="s">
        <v>1155</v>
      </c>
      <c r="D92" s="126">
        <v>1958</v>
      </c>
      <c r="E92" s="126"/>
      <c r="F92" s="145" t="s">
        <v>273</v>
      </c>
      <c r="G92" s="126">
        <v>2</v>
      </c>
      <c r="H92" s="126">
        <v>1</v>
      </c>
      <c r="I92" s="118">
        <v>447.4</v>
      </c>
      <c r="J92" s="118">
        <v>385</v>
      </c>
      <c r="K92" s="118">
        <v>341.3</v>
      </c>
      <c r="L92" s="127">
        <v>24</v>
      </c>
      <c r="M92" s="126" t="s">
        <v>271</v>
      </c>
      <c r="N92" s="126" t="s">
        <v>275</v>
      </c>
      <c r="O92" s="124" t="s">
        <v>1354</v>
      </c>
      <c r="P92" s="118">
        <v>2106147.9500000002</v>
      </c>
      <c r="Q92" s="118">
        <v>0</v>
      </c>
      <c r="R92" s="118">
        <v>0</v>
      </c>
      <c r="S92" s="118">
        <f t="shared" si="10"/>
        <v>2106147.9500000002</v>
      </c>
      <c r="T92" s="118">
        <f t="shared" si="11"/>
        <v>4707.5278274474749</v>
      </c>
      <c r="U92" s="118">
        <f>AG92</f>
        <v>8293.5278057142859</v>
      </c>
      <c r="V92" s="183">
        <f t="shared" si="12"/>
        <v>3585.999978266811</v>
      </c>
      <c r="W92" s="183"/>
      <c r="X92" s="183"/>
      <c r="Y92" s="64" t="e">
        <f t="shared" si="13"/>
        <v>#N/A</v>
      </c>
      <c r="AA92" s="64" t="e">
        <f t="shared" si="14"/>
        <v>#N/A</v>
      </c>
      <c r="AC92" s="64" t="s">
        <v>464</v>
      </c>
      <c r="AD92" s="64">
        <v>860.91</v>
      </c>
      <c r="AG92" s="64">
        <f>AH92*6191.24/J92</f>
        <v>8293.5278057142859</v>
      </c>
      <c r="AH92" s="64">
        <f t="shared" si="15"/>
        <v>515.73</v>
      </c>
      <c r="AJ92" s="64" t="s">
        <v>1403</v>
      </c>
      <c r="AK92" s="64">
        <v>554</v>
      </c>
      <c r="AS92" s="64" t="e">
        <f t="shared" si="16"/>
        <v>#N/A</v>
      </c>
    </row>
    <row r="93" spans="1:45" s="64" customFormat="1" ht="36" customHeight="1" x14ac:dyDescent="0.9">
      <c r="A93" s="64">
        <v>1</v>
      </c>
      <c r="B93" s="92">
        <f>SUBTOTAL(103,$A$16:A93)</f>
        <v>78</v>
      </c>
      <c r="C93" s="91" t="s">
        <v>1156</v>
      </c>
      <c r="D93" s="126">
        <v>1963</v>
      </c>
      <c r="E93" s="126"/>
      <c r="F93" s="145" t="s">
        <v>273</v>
      </c>
      <c r="G93" s="126">
        <v>5</v>
      </c>
      <c r="H93" s="126">
        <v>2</v>
      </c>
      <c r="I93" s="118">
        <v>2093.4</v>
      </c>
      <c r="J93" s="118">
        <v>1625</v>
      </c>
      <c r="K93" s="118">
        <v>1469.4</v>
      </c>
      <c r="L93" s="127">
        <v>81</v>
      </c>
      <c r="M93" s="126" t="s">
        <v>271</v>
      </c>
      <c r="N93" s="126" t="s">
        <v>275</v>
      </c>
      <c r="O93" s="124" t="s">
        <v>1695</v>
      </c>
      <c r="P93" s="118">
        <v>3257277.38</v>
      </c>
      <c r="Q93" s="118">
        <v>0</v>
      </c>
      <c r="R93" s="118">
        <v>0</v>
      </c>
      <c r="S93" s="118">
        <f t="shared" si="10"/>
        <v>3257277.38</v>
      </c>
      <c r="T93" s="118">
        <f t="shared" si="11"/>
        <v>1555.9746727811214</v>
      </c>
      <c r="U93" s="118">
        <f>AG93</f>
        <v>5801.858628923077</v>
      </c>
      <c r="V93" s="183">
        <f t="shared" si="12"/>
        <v>4245.8839561419554</v>
      </c>
      <c r="W93" s="183"/>
      <c r="X93" s="183"/>
      <c r="Y93" s="64" t="e">
        <f t="shared" si="13"/>
        <v>#N/A</v>
      </c>
      <c r="AA93" s="64" t="e">
        <f t="shared" si="14"/>
        <v>#N/A</v>
      </c>
      <c r="AC93" s="64" t="s">
        <v>1179</v>
      </c>
      <c r="AD93" s="64">
        <v>633.34</v>
      </c>
      <c r="AG93" s="64">
        <f>AH93*6191.24/J93</f>
        <v>5801.858628923077</v>
      </c>
      <c r="AH93" s="64">
        <f t="shared" si="15"/>
        <v>1522.8</v>
      </c>
      <c r="AJ93" s="64" t="s">
        <v>1134</v>
      </c>
      <c r="AK93" s="64">
        <v>1524.32</v>
      </c>
      <c r="AS93" s="64" t="e">
        <f t="shared" si="16"/>
        <v>#N/A</v>
      </c>
    </row>
    <row r="94" spans="1:45" s="64" customFormat="1" ht="36" customHeight="1" x14ac:dyDescent="0.9">
      <c r="A94" s="64">
        <v>1</v>
      </c>
      <c r="B94" s="92">
        <f>SUBTOTAL(103,$A$16:A94)</f>
        <v>79</v>
      </c>
      <c r="C94" s="91" t="s">
        <v>1157</v>
      </c>
      <c r="D94" s="126">
        <v>1958</v>
      </c>
      <c r="E94" s="126"/>
      <c r="F94" s="145" t="s">
        <v>273</v>
      </c>
      <c r="G94" s="126">
        <v>3</v>
      </c>
      <c r="H94" s="126">
        <v>2</v>
      </c>
      <c r="I94" s="118">
        <v>1085.8</v>
      </c>
      <c r="J94" s="118">
        <v>994.9</v>
      </c>
      <c r="K94" s="118">
        <v>922</v>
      </c>
      <c r="L94" s="127">
        <v>18</v>
      </c>
      <c r="M94" s="126" t="s">
        <v>271</v>
      </c>
      <c r="N94" s="126" t="s">
        <v>275</v>
      </c>
      <c r="O94" s="124" t="s">
        <v>1414</v>
      </c>
      <c r="P94" s="118">
        <v>2278510.5799999996</v>
      </c>
      <c r="Q94" s="118">
        <v>0</v>
      </c>
      <c r="R94" s="118">
        <v>0</v>
      </c>
      <c r="S94" s="118">
        <f t="shared" si="10"/>
        <v>2278510.5799999996</v>
      </c>
      <c r="T94" s="118">
        <f t="shared" si="11"/>
        <v>2098.4624976975501</v>
      </c>
      <c r="U94" s="118">
        <f>Y94</f>
        <v>3002.1262202983976</v>
      </c>
      <c r="V94" s="183">
        <f t="shared" si="12"/>
        <v>903.66372260084745</v>
      </c>
      <c r="W94" s="183"/>
      <c r="X94" s="183"/>
      <c r="Y94" s="64">
        <f t="shared" si="13"/>
        <v>3002.1262202983976</v>
      </c>
      <c r="AA94" s="64">
        <f t="shared" si="14"/>
        <v>624.25</v>
      </c>
      <c r="AC94" s="64" t="s">
        <v>1316</v>
      </c>
      <c r="AD94" s="64">
        <v>1674.7</v>
      </c>
      <c r="AH94" s="64" t="e">
        <f t="shared" si="15"/>
        <v>#N/A</v>
      </c>
      <c r="AJ94" s="64" t="s">
        <v>1149</v>
      </c>
      <c r="AK94" s="64">
        <v>1389</v>
      </c>
      <c r="AS94" s="64" t="e">
        <f t="shared" si="16"/>
        <v>#N/A</v>
      </c>
    </row>
    <row r="95" spans="1:45" s="64" customFormat="1" ht="36" customHeight="1" x14ac:dyDescent="0.9">
      <c r="A95" s="64">
        <v>1</v>
      </c>
      <c r="B95" s="92">
        <f>SUBTOTAL(103,$A$16:A95)</f>
        <v>80</v>
      </c>
      <c r="C95" s="91" t="s">
        <v>1158</v>
      </c>
      <c r="D95" s="126">
        <v>1959</v>
      </c>
      <c r="E95" s="126"/>
      <c r="F95" s="145" t="s">
        <v>273</v>
      </c>
      <c r="G95" s="126">
        <v>2</v>
      </c>
      <c r="H95" s="126">
        <v>1</v>
      </c>
      <c r="I95" s="118">
        <v>495</v>
      </c>
      <c r="J95" s="118">
        <v>308.10000000000002</v>
      </c>
      <c r="K95" s="118">
        <v>308.10000000000002</v>
      </c>
      <c r="L95" s="127">
        <v>19</v>
      </c>
      <c r="M95" s="126" t="s">
        <v>271</v>
      </c>
      <c r="N95" s="126" t="s">
        <v>275</v>
      </c>
      <c r="O95" s="124" t="s">
        <v>1689</v>
      </c>
      <c r="P95" s="118">
        <v>2391493.25</v>
      </c>
      <c r="Q95" s="118">
        <v>0</v>
      </c>
      <c r="R95" s="118">
        <v>0</v>
      </c>
      <c r="S95" s="118">
        <f t="shared" si="10"/>
        <v>2391493.25</v>
      </c>
      <c r="T95" s="118">
        <f t="shared" si="11"/>
        <v>4831.2994949494951</v>
      </c>
      <c r="U95" s="118">
        <f>AG95</f>
        <v>13053.649802012333</v>
      </c>
      <c r="V95" s="183">
        <f t="shared" si="12"/>
        <v>8222.3503070628376</v>
      </c>
      <c r="W95" s="183"/>
      <c r="X95" s="183"/>
      <c r="Y95" s="64" t="e">
        <f t="shared" si="13"/>
        <v>#N/A</v>
      </c>
      <c r="AA95" s="64" t="e">
        <f t="shared" si="14"/>
        <v>#N/A</v>
      </c>
      <c r="AC95" s="64" t="s">
        <v>473</v>
      </c>
      <c r="AD95" s="64">
        <v>719</v>
      </c>
      <c r="AG95" s="64">
        <f>AH95*6191.24/J95</f>
        <v>13053.649802012333</v>
      </c>
      <c r="AH95" s="64">
        <f t="shared" si="15"/>
        <v>649.6</v>
      </c>
      <c r="AJ95" s="64" t="s">
        <v>1151</v>
      </c>
      <c r="AK95" s="64">
        <v>1778.5</v>
      </c>
      <c r="AS95" s="64" t="e">
        <f t="shared" si="16"/>
        <v>#N/A</v>
      </c>
    </row>
    <row r="96" spans="1:45" s="64" customFormat="1" ht="36" customHeight="1" x14ac:dyDescent="0.9">
      <c r="A96" s="64">
        <v>1</v>
      </c>
      <c r="B96" s="92">
        <f>SUBTOTAL(103,$A$16:A96)</f>
        <v>81</v>
      </c>
      <c r="C96" s="91" t="s">
        <v>1159</v>
      </c>
      <c r="D96" s="126">
        <v>1968</v>
      </c>
      <c r="E96" s="126"/>
      <c r="F96" s="145" t="s">
        <v>273</v>
      </c>
      <c r="G96" s="126">
        <v>5</v>
      </c>
      <c r="H96" s="126">
        <v>4</v>
      </c>
      <c r="I96" s="118">
        <v>3196.3</v>
      </c>
      <c r="J96" s="118">
        <v>3132.7</v>
      </c>
      <c r="K96" s="118">
        <v>3132.7</v>
      </c>
      <c r="L96" s="127">
        <v>173</v>
      </c>
      <c r="M96" s="126" t="s">
        <v>271</v>
      </c>
      <c r="N96" s="126" t="s">
        <v>275</v>
      </c>
      <c r="O96" s="124" t="s">
        <v>1416</v>
      </c>
      <c r="P96" s="118">
        <v>1057247.3700000001</v>
      </c>
      <c r="Q96" s="118">
        <v>0</v>
      </c>
      <c r="R96" s="118">
        <v>0</v>
      </c>
      <c r="S96" s="118">
        <f t="shared" si="10"/>
        <v>1057247.3700000001</v>
      </c>
      <c r="T96" s="118">
        <f t="shared" si="11"/>
        <v>330.77225854894726</v>
      </c>
      <c r="U96" s="118">
        <v>3234.9878786764702</v>
      </c>
      <c r="V96" s="183">
        <f t="shared" si="12"/>
        <v>2904.2156201275229</v>
      </c>
      <c r="W96" s="183"/>
      <c r="X96" s="183"/>
      <c r="Y96" s="64" t="e">
        <f t="shared" si="13"/>
        <v>#N/A</v>
      </c>
      <c r="AA96" s="64" t="e">
        <f t="shared" si="14"/>
        <v>#N/A</v>
      </c>
      <c r="AC96" s="64" t="s">
        <v>396</v>
      </c>
      <c r="AD96" s="64">
        <v>1108.98</v>
      </c>
      <c r="AH96" s="64" t="e">
        <f t="shared" si="15"/>
        <v>#N/A</v>
      </c>
      <c r="AJ96" s="64" t="s">
        <v>1637</v>
      </c>
      <c r="AK96" s="64">
        <v>840</v>
      </c>
      <c r="AS96" s="64" t="e">
        <f t="shared" si="16"/>
        <v>#N/A</v>
      </c>
    </row>
    <row r="97" spans="1:45" s="64" customFormat="1" ht="36" customHeight="1" x14ac:dyDescent="0.9">
      <c r="A97" s="64">
        <v>1</v>
      </c>
      <c r="B97" s="92">
        <f>SUBTOTAL(103,$A$16:A97)</f>
        <v>82</v>
      </c>
      <c r="C97" s="91" t="s">
        <v>1160</v>
      </c>
      <c r="D97" s="126">
        <v>1974</v>
      </c>
      <c r="E97" s="126"/>
      <c r="F97" s="145" t="s">
        <v>319</v>
      </c>
      <c r="G97" s="126">
        <v>5</v>
      </c>
      <c r="H97" s="126">
        <v>6</v>
      </c>
      <c r="I97" s="118">
        <v>6075</v>
      </c>
      <c r="J97" s="118">
        <v>4574.1000000000004</v>
      </c>
      <c r="K97" s="118">
        <v>4324.3999999999996</v>
      </c>
      <c r="L97" s="127">
        <v>225</v>
      </c>
      <c r="M97" s="126" t="s">
        <v>271</v>
      </c>
      <c r="N97" s="126" t="s">
        <v>275</v>
      </c>
      <c r="O97" s="124" t="s">
        <v>1352</v>
      </c>
      <c r="P97" s="118">
        <v>5231607.8099999996</v>
      </c>
      <c r="Q97" s="118">
        <v>0</v>
      </c>
      <c r="R97" s="118">
        <v>0</v>
      </c>
      <c r="S97" s="118">
        <f t="shared" si="10"/>
        <v>5231607.8099999996</v>
      </c>
      <c r="T97" s="118">
        <f t="shared" si="11"/>
        <v>861.17000987654319</v>
      </c>
      <c r="U97" s="118">
        <f>Y97</f>
        <v>989.52035555555562</v>
      </c>
      <c r="V97" s="183">
        <f t="shared" si="12"/>
        <v>128.35034567901243</v>
      </c>
      <c r="W97" s="183"/>
      <c r="X97" s="183"/>
      <c r="Y97" s="64">
        <f t="shared" si="13"/>
        <v>989.52035555555562</v>
      </c>
      <c r="AA97" s="64">
        <f t="shared" si="14"/>
        <v>1151.2</v>
      </c>
      <c r="AC97" s="64" t="s">
        <v>398</v>
      </c>
      <c r="AD97" s="64">
        <v>600</v>
      </c>
      <c r="AH97" s="64" t="e">
        <f t="shared" si="15"/>
        <v>#N/A</v>
      </c>
      <c r="AJ97" s="64" t="s">
        <v>1669</v>
      </c>
      <c r="AK97" s="64">
        <v>1343.2</v>
      </c>
      <c r="AS97" s="64" t="e">
        <f t="shared" si="16"/>
        <v>#N/A</v>
      </c>
    </row>
    <row r="98" spans="1:45" s="64" customFormat="1" ht="36" customHeight="1" x14ac:dyDescent="0.9">
      <c r="A98" s="64">
        <v>1</v>
      </c>
      <c r="B98" s="92">
        <f>SUBTOTAL(103,$A$16:A98)</f>
        <v>83</v>
      </c>
      <c r="C98" s="91" t="s">
        <v>1163</v>
      </c>
      <c r="D98" s="126">
        <v>1959</v>
      </c>
      <c r="E98" s="126"/>
      <c r="F98" s="145" t="s">
        <v>273</v>
      </c>
      <c r="G98" s="126">
        <v>2</v>
      </c>
      <c r="H98" s="126">
        <v>2</v>
      </c>
      <c r="I98" s="118">
        <v>572.79999999999995</v>
      </c>
      <c r="J98" s="118">
        <v>339.4</v>
      </c>
      <c r="K98" s="118">
        <v>339.4</v>
      </c>
      <c r="L98" s="127">
        <v>20</v>
      </c>
      <c r="M98" s="126" t="s">
        <v>271</v>
      </c>
      <c r="N98" s="126" t="s">
        <v>275</v>
      </c>
      <c r="O98" s="124" t="s">
        <v>1354</v>
      </c>
      <c r="P98" s="118">
        <v>2333046.9300000002</v>
      </c>
      <c r="Q98" s="118">
        <v>0</v>
      </c>
      <c r="R98" s="118">
        <v>0</v>
      </c>
      <c r="S98" s="118">
        <f t="shared" si="10"/>
        <v>2333046.9300000002</v>
      </c>
      <c r="T98" s="118">
        <f t="shared" si="11"/>
        <v>4073.0567912011179</v>
      </c>
      <c r="U98" s="118">
        <f>AG98</f>
        <v>10762.615203299942</v>
      </c>
      <c r="V98" s="183">
        <f t="shared" si="12"/>
        <v>6689.5584120988242</v>
      </c>
      <c r="W98" s="183"/>
      <c r="X98" s="183"/>
      <c r="Y98" s="64" t="e">
        <f t="shared" si="13"/>
        <v>#N/A</v>
      </c>
      <c r="AA98" s="64" t="e">
        <f t="shared" si="14"/>
        <v>#N/A</v>
      </c>
      <c r="AC98" s="64" t="s">
        <v>399</v>
      </c>
      <c r="AD98" s="64">
        <v>928</v>
      </c>
      <c r="AG98" s="64">
        <f>AH98*6191.24/J98</f>
        <v>10762.615203299942</v>
      </c>
      <c r="AH98" s="64">
        <f t="shared" si="15"/>
        <v>590</v>
      </c>
      <c r="AJ98" s="64" t="s">
        <v>467</v>
      </c>
      <c r="AK98" s="64">
        <v>439.04</v>
      </c>
      <c r="AS98" s="64" t="e">
        <f t="shared" si="16"/>
        <v>#N/A</v>
      </c>
    </row>
    <row r="99" spans="1:45" s="64" customFormat="1" ht="36" customHeight="1" x14ac:dyDescent="0.9">
      <c r="A99" s="64">
        <v>1</v>
      </c>
      <c r="B99" s="92">
        <f>SUBTOTAL(103,$A$16:A99)</f>
        <v>84</v>
      </c>
      <c r="C99" s="91" t="s">
        <v>1164</v>
      </c>
      <c r="D99" s="126">
        <v>1955</v>
      </c>
      <c r="E99" s="126"/>
      <c r="F99" s="145" t="s">
        <v>273</v>
      </c>
      <c r="G99" s="126">
        <v>2</v>
      </c>
      <c r="H99" s="126">
        <v>1</v>
      </c>
      <c r="I99" s="118">
        <v>527.66</v>
      </c>
      <c r="J99" s="118">
        <v>427.66</v>
      </c>
      <c r="K99" s="118">
        <v>357.76</v>
      </c>
      <c r="L99" s="127">
        <v>20</v>
      </c>
      <c r="M99" s="126" t="s">
        <v>271</v>
      </c>
      <c r="N99" s="126" t="s">
        <v>275</v>
      </c>
      <c r="O99" s="124" t="s">
        <v>1352</v>
      </c>
      <c r="P99" s="118">
        <v>2030984.36</v>
      </c>
      <c r="Q99" s="118">
        <v>0</v>
      </c>
      <c r="R99" s="118">
        <v>0</v>
      </c>
      <c r="S99" s="118">
        <f t="shared" si="10"/>
        <v>2030984.36</v>
      </c>
      <c r="T99" s="118">
        <f t="shared" si="11"/>
        <v>3849.0398362581968</v>
      </c>
      <c r="U99" s="118">
        <f>AG99</f>
        <v>6516.104204274423</v>
      </c>
      <c r="V99" s="183">
        <f t="shared" si="12"/>
        <v>2667.0643680162261</v>
      </c>
      <c r="W99" s="183"/>
      <c r="X99" s="183"/>
      <c r="Y99" s="64" t="e">
        <f t="shared" si="13"/>
        <v>#N/A</v>
      </c>
      <c r="AA99" s="64" t="e">
        <f t="shared" si="14"/>
        <v>#N/A</v>
      </c>
      <c r="AC99" s="64" t="s">
        <v>400</v>
      </c>
      <c r="AD99" s="64">
        <v>976</v>
      </c>
      <c r="AG99" s="64">
        <f>AH99*6191.24/J99</f>
        <v>6516.104204274423</v>
      </c>
      <c r="AH99" s="64">
        <f t="shared" si="15"/>
        <v>450.1</v>
      </c>
      <c r="AJ99" s="64" t="s">
        <v>472</v>
      </c>
      <c r="AK99" s="64">
        <v>409.5</v>
      </c>
      <c r="AS99" s="64" t="e">
        <f t="shared" si="16"/>
        <v>#N/A</v>
      </c>
    </row>
    <row r="100" spans="1:45" s="64" customFormat="1" ht="36" customHeight="1" x14ac:dyDescent="0.9">
      <c r="A100" s="64">
        <v>1</v>
      </c>
      <c r="B100" s="92">
        <f>SUBTOTAL(103,$A$16:A100)</f>
        <v>85</v>
      </c>
      <c r="C100" s="91" t="s">
        <v>1596</v>
      </c>
      <c r="D100" s="126">
        <v>1949</v>
      </c>
      <c r="E100" s="126"/>
      <c r="F100" s="145" t="s">
        <v>273</v>
      </c>
      <c r="G100" s="126">
        <v>2</v>
      </c>
      <c r="H100" s="126">
        <v>1</v>
      </c>
      <c r="I100" s="118">
        <v>559.9</v>
      </c>
      <c r="J100" s="118">
        <v>519.9</v>
      </c>
      <c r="K100" s="118">
        <v>519.9</v>
      </c>
      <c r="L100" s="127">
        <v>22</v>
      </c>
      <c r="M100" s="126" t="s">
        <v>271</v>
      </c>
      <c r="N100" s="126" t="s">
        <v>275</v>
      </c>
      <c r="O100" s="124" t="s">
        <v>1413</v>
      </c>
      <c r="P100" s="118">
        <v>1677475.96</v>
      </c>
      <c r="Q100" s="118">
        <v>0</v>
      </c>
      <c r="R100" s="118">
        <v>0</v>
      </c>
      <c r="S100" s="118">
        <f t="shared" si="10"/>
        <v>1677475.96</v>
      </c>
      <c r="T100" s="118">
        <f t="shared" si="11"/>
        <v>2996.0277906769065</v>
      </c>
      <c r="U100" s="118">
        <f t="shared" ref="U100:U109" si="17">Y100</f>
        <v>4513.9332023575644</v>
      </c>
      <c r="V100" s="183">
        <f t="shared" si="12"/>
        <v>1517.9054116806578</v>
      </c>
      <c r="W100" s="183"/>
      <c r="X100" s="183"/>
      <c r="Y100" s="64">
        <f t="shared" si="13"/>
        <v>4513.9332023575644</v>
      </c>
      <c r="AA100" s="64">
        <f t="shared" si="14"/>
        <v>484</v>
      </c>
      <c r="AC100" s="64" t="s">
        <v>402</v>
      </c>
      <c r="AD100" s="64">
        <v>443.8</v>
      </c>
      <c r="AH100" s="64" t="e">
        <f t="shared" si="15"/>
        <v>#N/A</v>
      </c>
      <c r="AJ100" s="64" t="s">
        <v>430</v>
      </c>
      <c r="AK100" s="64">
        <v>947</v>
      </c>
      <c r="AS100" s="64" t="e">
        <f t="shared" si="16"/>
        <v>#N/A</v>
      </c>
    </row>
    <row r="101" spans="1:45" s="64" customFormat="1" ht="36" customHeight="1" x14ac:dyDescent="0.9">
      <c r="A101" s="64">
        <v>1</v>
      </c>
      <c r="B101" s="92">
        <f>SUBTOTAL(103,$A$16:A101)</f>
        <v>86</v>
      </c>
      <c r="C101" s="91" t="s">
        <v>1592</v>
      </c>
      <c r="D101" s="126">
        <v>1969</v>
      </c>
      <c r="E101" s="126"/>
      <c r="F101" s="145" t="s">
        <v>273</v>
      </c>
      <c r="G101" s="126">
        <v>5</v>
      </c>
      <c r="H101" s="126">
        <v>3</v>
      </c>
      <c r="I101" s="118">
        <v>2989.1</v>
      </c>
      <c r="J101" s="118">
        <v>2908.3</v>
      </c>
      <c r="K101" s="118">
        <v>2016</v>
      </c>
      <c r="L101" s="127">
        <v>96</v>
      </c>
      <c r="M101" s="126" t="s">
        <v>271</v>
      </c>
      <c r="N101" s="126" t="s">
        <v>275</v>
      </c>
      <c r="O101" s="124" t="s">
        <v>1694</v>
      </c>
      <c r="P101" s="118">
        <v>3647787.35</v>
      </c>
      <c r="Q101" s="118">
        <v>0</v>
      </c>
      <c r="R101" s="118">
        <v>0</v>
      </c>
      <c r="S101" s="118">
        <f t="shared" si="10"/>
        <v>3647787.35</v>
      </c>
      <c r="T101" s="118">
        <f t="shared" si="11"/>
        <v>1220.3631026061357</v>
      </c>
      <c r="U101" s="118">
        <f t="shared" si="17"/>
        <v>1572.2525174801781</v>
      </c>
      <c r="V101" s="183">
        <f t="shared" si="12"/>
        <v>351.88941487404236</v>
      </c>
      <c r="W101" s="183"/>
      <c r="X101" s="183"/>
      <c r="Y101" s="64">
        <f t="shared" si="13"/>
        <v>1572.2525174801781</v>
      </c>
      <c r="AA101" s="64">
        <f t="shared" si="14"/>
        <v>900</v>
      </c>
      <c r="AC101" s="64" t="s">
        <v>404</v>
      </c>
      <c r="AD101" s="64">
        <v>1580</v>
      </c>
      <c r="AH101" s="64" t="e">
        <f t="shared" si="15"/>
        <v>#N/A</v>
      </c>
      <c r="AJ101" s="64" t="s">
        <v>393</v>
      </c>
      <c r="AK101" s="64">
        <v>2476.9</v>
      </c>
      <c r="AS101" s="64" t="e">
        <f t="shared" si="16"/>
        <v>#N/A</v>
      </c>
    </row>
    <row r="102" spans="1:45" s="64" customFormat="1" ht="36" customHeight="1" x14ac:dyDescent="0.9">
      <c r="A102" s="64">
        <v>1</v>
      </c>
      <c r="B102" s="92">
        <f>SUBTOTAL(103,$A$16:A102)</f>
        <v>87</v>
      </c>
      <c r="C102" s="91" t="s">
        <v>1595</v>
      </c>
      <c r="D102" s="126">
        <v>1938</v>
      </c>
      <c r="E102" s="126"/>
      <c r="F102" s="145" t="s">
        <v>273</v>
      </c>
      <c r="G102" s="126">
        <v>5</v>
      </c>
      <c r="H102" s="126">
        <v>4</v>
      </c>
      <c r="I102" s="118">
        <v>2281.4699999999998</v>
      </c>
      <c r="J102" s="118">
        <v>2181.4699999999998</v>
      </c>
      <c r="K102" s="118">
        <v>1868.6</v>
      </c>
      <c r="L102" s="127">
        <v>88</v>
      </c>
      <c r="M102" s="126" t="s">
        <v>271</v>
      </c>
      <c r="N102" s="126" t="s">
        <v>275</v>
      </c>
      <c r="O102" s="124" t="s">
        <v>1416</v>
      </c>
      <c r="P102" s="118">
        <v>5636811.5700000003</v>
      </c>
      <c r="Q102" s="118">
        <v>0</v>
      </c>
      <c r="R102" s="118">
        <v>0</v>
      </c>
      <c r="S102" s="118">
        <f t="shared" si="10"/>
        <v>5636811.5700000003</v>
      </c>
      <c r="T102" s="118">
        <f t="shared" si="11"/>
        <v>2470.6928296230067</v>
      </c>
      <c r="U102" s="118">
        <f>T102</f>
        <v>2470.6928296230067</v>
      </c>
      <c r="V102" s="183">
        <f t="shared" si="12"/>
        <v>0</v>
      </c>
      <c r="W102" s="183"/>
      <c r="X102" s="183"/>
      <c r="Y102" s="64">
        <f t="shared" si="13"/>
        <v>2298.629278491499</v>
      </c>
      <c r="AA102" s="64">
        <f t="shared" si="14"/>
        <v>1004.3</v>
      </c>
      <c r="AC102" s="64" t="s">
        <v>405</v>
      </c>
      <c r="AD102" s="64">
        <v>1120</v>
      </c>
      <c r="AH102" s="64" t="e">
        <f t="shared" si="15"/>
        <v>#N/A</v>
      </c>
      <c r="AJ102" s="64" t="s">
        <v>692</v>
      </c>
      <c r="AK102" s="64">
        <v>2768.5</v>
      </c>
      <c r="AS102" s="64" t="e">
        <f t="shared" si="16"/>
        <v>#N/A</v>
      </c>
    </row>
    <row r="103" spans="1:45" s="64" customFormat="1" ht="36" customHeight="1" x14ac:dyDescent="0.9">
      <c r="A103" s="64">
        <v>1</v>
      </c>
      <c r="B103" s="92">
        <f>SUBTOTAL(103,$A$16:A103)</f>
        <v>88</v>
      </c>
      <c r="C103" s="91" t="s">
        <v>1591</v>
      </c>
      <c r="D103" s="126">
        <v>1962</v>
      </c>
      <c r="E103" s="126"/>
      <c r="F103" s="145" t="s">
        <v>273</v>
      </c>
      <c r="G103" s="126">
        <v>5</v>
      </c>
      <c r="H103" s="126">
        <v>4</v>
      </c>
      <c r="I103" s="118">
        <v>3481.5</v>
      </c>
      <c r="J103" s="118">
        <v>3396.3</v>
      </c>
      <c r="K103" s="118">
        <v>3181.1</v>
      </c>
      <c r="L103" s="127">
        <v>89</v>
      </c>
      <c r="M103" s="126" t="s">
        <v>271</v>
      </c>
      <c r="N103" s="126" t="s">
        <v>275</v>
      </c>
      <c r="O103" s="124" t="s">
        <v>1694</v>
      </c>
      <c r="P103" s="118">
        <v>3789473.9</v>
      </c>
      <c r="Q103" s="118">
        <v>0</v>
      </c>
      <c r="R103" s="118">
        <v>0</v>
      </c>
      <c r="S103" s="118">
        <f t="shared" si="10"/>
        <v>3789473.9</v>
      </c>
      <c r="T103" s="118">
        <f t="shared" si="11"/>
        <v>1088.460117765331</v>
      </c>
      <c r="U103" s="118">
        <f t="shared" si="17"/>
        <v>1585.3633778543733</v>
      </c>
      <c r="V103" s="183">
        <f t="shared" si="12"/>
        <v>496.90326008904231</v>
      </c>
      <c r="W103" s="183"/>
      <c r="X103" s="183"/>
      <c r="Y103" s="64">
        <f t="shared" si="13"/>
        <v>1585.3633778543733</v>
      </c>
      <c r="AA103" s="64">
        <f t="shared" si="14"/>
        <v>1057</v>
      </c>
      <c r="AC103" s="64" t="s">
        <v>406</v>
      </c>
      <c r="AD103" s="64">
        <v>473</v>
      </c>
      <c r="AH103" s="64" t="e">
        <f t="shared" si="15"/>
        <v>#N/A</v>
      </c>
      <c r="AJ103" s="64" t="s">
        <v>1312</v>
      </c>
      <c r="AK103" s="64">
        <v>842.36</v>
      </c>
      <c r="AS103" s="64" t="e">
        <f t="shared" si="16"/>
        <v>#N/A</v>
      </c>
    </row>
    <row r="104" spans="1:45" s="64" customFormat="1" ht="36" customHeight="1" x14ac:dyDescent="0.9">
      <c r="A104" s="64">
        <v>1</v>
      </c>
      <c r="B104" s="92">
        <f>SUBTOTAL(103,$A$16:A104)</f>
        <v>89</v>
      </c>
      <c r="C104" s="91" t="s">
        <v>1581</v>
      </c>
      <c r="D104" s="126">
        <v>1970</v>
      </c>
      <c r="E104" s="126"/>
      <c r="F104" s="145" t="s">
        <v>273</v>
      </c>
      <c r="G104" s="126">
        <v>9</v>
      </c>
      <c r="H104" s="126">
        <v>1</v>
      </c>
      <c r="I104" s="118">
        <v>1920.2</v>
      </c>
      <c r="J104" s="118">
        <v>1849.3</v>
      </c>
      <c r="K104" s="118">
        <v>1849.3</v>
      </c>
      <c r="L104" s="127">
        <v>94</v>
      </c>
      <c r="M104" s="126" t="s">
        <v>271</v>
      </c>
      <c r="N104" s="126" t="s">
        <v>275</v>
      </c>
      <c r="O104" s="124" t="s">
        <v>1416</v>
      </c>
      <c r="P104" s="118">
        <v>597387.81000000006</v>
      </c>
      <c r="Q104" s="118">
        <v>0</v>
      </c>
      <c r="R104" s="118">
        <v>0</v>
      </c>
      <c r="S104" s="118">
        <f t="shared" si="10"/>
        <v>597387.81000000006</v>
      </c>
      <c r="T104" s="118">
        <f t="shared" si="11"/>
        <v>311.10707738777211</v>
      </c>
      <c r="U104" s="118">
        <f t="shared" si="17"/>
        <v>913.71982085199454</v>
      </c>
      <c r="V104" s="183">
        <f t="shared" si="12"/>
        <v>602.61274346422238</v>
      </c>
      <c r="W104" s="183"/>
      <c r="X104" s="183"/>
      <c r="Y104" s="64">
        <f t="shared" si="13"/>
        <v>913.71982085199454</v>
      </c>
      <c r="AA104" s="64">
        <f t="shared" si="14"/>
        <v>336</v>
      </c>
      <c r="AC104" s="64" t="s">
        <v>407</v>
      </c>
      <c r="AD104" s="64">
        <v>550</v>
      </c>
      <c r="AH104" s="64" t="e">
        <f t="shared" si="15"/>
        <v>#N/A</v>
      </c>
      <c r="AJ104" s="64" t="s">
        <v>178</v>
      </c>
      <c r="AK104" s="64">
        <v>459</v>
      </c>
      <c r="AS104" s="64" t="e">
        <f t="shared" si="16"/>
        <v>#N/A</v>
      </c>
    </row>
    <row r="105" spans="1:45" s="64" customFormat="1" ht="36" customHeight="1" x14ac:dyDescent="0.9">
      <c r="A105" s="64">
        <v>1</v>
      </c>
      <c r="B105" s="92">
        <f>SUBTOTAL(103,$A$16:A105)</f>
        <v>90</v>
      </c>
      <c r="C105" s="91" t="s">
        <v>1593</v>
      </c>
      <c r="D105" s="126">
        <v>1976</v>
      </c>
      <c r="E105" s="126"/>
      <c r="F105" s="145" t="s">
        <v>273</v>
      </c>
      <c r="G105" s="126">
        <v>5</v>
      </c>
      <c r="H105" s="126">
        <v>7</v>
      </c>
      <c r="I105" s="118">
        <v>5832</v>
      </c>
      <c r="J105" s="118">
        <v>5789.7</v>
      </c>
      <c r="K105" s="118">
        <v>5389.7</v>
      </c>
      <c r="L105" s="127">
        <v>248</v>
      </c>
      <c r="M105" s="126" t="s">
        <v>271</v>
      </c>
      <c r="N105" s="126" t="s">
        <v>275</v>
      </c>
      <c r="O105" s="124" t="s">
        <v>1414</v>
      </c>
      <c r="P105" s="118">
        <v>5103753.3499999996</v>
      </c>
      <c r="Q105" s="118">
        <v>0</v>
      </c>
      <c r="R105" s="118">
        <v>0</v>
      </c>
      <c r="S105" s="118">
        <f t="shared" si="10"/>
        <v>5103753.3499999996</v>
      </c>
      <c r="T105" s="118">
        <f t="shared" si="11"/>
        <v>875.12917524005479</v>
      </c>
      <c r="U105" s="118">
        <f t="shared" si="17"/>
        <v>1343.0555555555557</v>
      </c>
      <c r="V105" s="183">
        <f t="shared" si="12"/>
        <v>467.92638031550086</v>
      </c>
      <c r="W105" s="183"/>
      <c r="X105" s="183"/>
      <c r="Y105" s="64">
        <f t="shared" si="13"/>
        <v>1343.0555555555557</v>
      </c>
      <c r="AA105" s="64">
        <f t="shared" si="14"/>
        <v>1500</v>
      </c>
      <c r="AC105" s="64" t="s">
        <v>202</v>
      </c>
      <c r="AD105" s="64">
        <v>1330</v>
      </c>
      <c r="AH105" s="64" t="e">
        <f t="shared" si="15"/>
        <v>#N/A</v>
      </c>
      <c r="AJ105" s="64" t="s">
        <v>179</v>
      </c>
      <c r="AK105" s="64">
        <v>425.5</v>
      </c>
      <c r="AS105" s="64" t="e">
        <f t="shared" si="16"/>
        <v>#N/A</v>
      </c>
    </row>
    <row r="106" spans="1:45" s="64" customFormat="1" ht="36" customHeight="1" x14ac:dyDescent="0.9">
      <c r="A106" s="64">
        <v>1</v>
      </c>
      <c r="B106" s="92">
        <f>SUBTOTAL(103,$A$16:A106)</f>
        <v>91</v>
      </c>
      <c r="C106" s="91" t="s">
        <v>1594</v>
      </c>
      <c r="D106" s="126">
        <v>1972</v>
      </c>
      <c r="E106" s="126"/>
      <c r="F106" s="145" t="s">
        <v>273</v>
      </c>
      <c r="G106" s="126">
        <v>5</v>
      </c>
      <c r="H106" s="126">
        <v>8</v>
      </c>
      <c r="I106" s="118">
        <v>7103.6</v>
      </c>
      <c r="J106" s="118">
        <v>6466</v>
      </c>
      <c r="K106" s="118">
        <v>5482.9</v>
      </c>
      <c r="L106" s="127">
        <v>277</v>
      </c>
      <c r="M106" s="126" t="s">
        <v>271</v>
      </c>
      <c r="N106" s="126" t="s">
        <v>275</v>
      </c>
      <c r="O106" s="124" t="s">
        <v>1415</v>
      </c>
      <c r="P106" s="118">
        <v>6462765.0600000005</v>
      </c>
      <c r="Q106" s="118">
        <v>0</v>
      </c>
      <c r="R106" s="118">
        <v>0</v>
      </c>
      <c r="S106" s="118">
        <f t="shared" si="10"/>
        <v>6462765.0600000005</v>
      </c>
      <c r="T106" s="118">
        <f t="shared" si="11"/>
        <v>909.7872993974886</v>
      </c>
      <c r="U106" s="118">
        <f t="shared" si="17"/>
        <v>1417.2575032377949</v>
      </c>
      <c r="V106" s="183">
        <f t="shared" si="12"/>
        <v>507.47020384030634</v>
      </c>
      <c r="W106" s="183"/>
      <c r="X106" s="183"/>
      <c r="Y106" s="64">
        <f t="shared" si="13"/>
        <v>1417.2575032377949</v>
      </c>
      <c r="AA106" s="64">
        <f t="shared" si="14"/>
        <v>1928</v>
      </c>
      <c r="AC106" s="64" t="s">
        <v>409</v>
      </c>
      <c r="AD106" s="64">
        <v>342</v>
      </c>
      <c r="AH106" s="64" t="e">
        <f t="shared" si="15"/>
        <v>#N/A</v>
      </c>
      <c r="AJ106" s="64" t="s">
        <v>195</v>
      </c>
      <c r="AK106" s="64">
        <v>531</v>
      </c>
      <c r="AS106" s="64" t="e">
        <f t="shared" si="16"/>
        <v>#N/A</v>
      </c>
    </row>
    <row r="107" spans="1:45" s="64" customFormat="1" ht="36" customHeight="1" x14ac:dyDescent="0.9">
      <c r="A107" s="64">
        <v>1</v>
      </c>
      <c r="B107" s="92">
        <f>SUBTOTAL(103,$A$16:A107)</f>
        <v>92</v>
      </c>
      <c r="C107" s="91" t="s">
        <v>1582</v>
      </c>
      <c r="D107" s="126">
        <v>1976</v>
      </c>
      <c r="E107" s="126"/>
      <c r="F107" s="145" t="s">
        <v>273</v>
      </c>
      <c r="G107" s="126">
        <v>3</v>
      </c>
      <c r="H107" s="126">
        <v>2</v>
      </c>
      <c r="I107" s="118">
        <v>1182.5999999999999</v>
      </c>
      <c r="J107" s="118">
        <v>1084.5999999999999</v>
      </c>
      <c r="K107" s="118">
        <v>993.3</v>
      </c>
      <c r="L107" s="127">
        <v>59</v>
      </c>
      <c r="M107" s="126" t="s">
        <v>271</v>
      </c>
      <c r="N107" s="126" t="s">
        <v>275</v>
      </c>
      <c r="O107" s="124" t="s">
        <v>1413</v>
      </c>
      <c r="P107" s="118">
        <v>2093149.6</v>
      </c>
      <c r="Q107" s="118">
        <v>0</v>
      </c>
      <c r="R107" s="118">
        <v>0</v>
      </c>
      <c r="S107" s="118">
        <f t="shared" si="10"/>
        <v>2093149.6</v>
      </c>
      <c r="T107" s="118">
        <f t="shared" si="11"/>
        <v>1769.9556908506681</v>
      </c>
      <c r="U107" s="118">
        <f>T107</f>
        <v>1769.9556908506681</v>
      </c>
      <c r="V107" s="183">
        <f t="shared" si="12"/>
        <v>0</v>
      </c>
      <c r="W107" s="183"/>
      <c r="X107" s="183"/>
      <c r="Y107" s="64">
        <f t="shared" si="13"/>
        <v>1699.9771689497718</v>
      </c>
      <c r="AA107" s="64">
        <f t="shared" si="14"/>
        <v>385</v>
      </c>
      <c r="AC107" s="64" t="s">
        <v>410</v>
      </c>
      <c r="AD107" s="64">
        <v>2022</v>
      </c>
      <c r="AH107" s="64" t="e">
        <f t="shared" si="15"/>
        <v>#N/A</v>
      </c>
      <c r="AJ107" s="64" t="s">
        <v>606</v>
      </c>
      <c r="AK107" s="64">
        <v>1536</v>
      </c>
      <c r="AS107" s="64" t="e">
        <f t="shared" si="16"/>
        <v>#N/A</v>
      </c>
    </row>
    <row r="108" spans="1:45" s="64" customFormat="1" ht="36" customHeight="1" x14ac:dyDescent="0.9">
      <c r="A108" s="64">
        <v>1</v>
      </c>
      <c r="B108" s="92">
        <f>SUBTOTAL(103,$A$16:A108)</f>
        <v>93</v>
      </c>
      <c r="C108" s="91" t="s">
        <v>1636</v>
      </c>
      <c r="D108" s="126">
        <v>1959</v>
      </c>
      <c r="E108" s="126"/>
      <c r="F108" s="145" t="s">
        <v>273</v>
      </c>
      <c r="G108" s="126">
        <v>2</v>
      </c>
      <c r="H108" s="126">
        <v>2</v>
      </c>
      <c r="I108" s="118">
        <v>548.9</v>
      </c>
      <c r="J108" s="118">
        <v>548.9</v>
      </c>
      <c r="K108" s="118">
        <v>548.9</v>
      </c>
      <c r="L108" s="127">
        <v>40</v>
      </c>
      <c r="M108" s="126" t="s">
        <v>271</v>
      </c>
      <c r="N108" s="126" t="s">
        <v>275</v>
      </c>
      <c r="O108" s="124" t="s">
        <v>1413</v>
      </c>
      <c r="P108" s="118">
        <v>2139777.0500000003</v>
      </c>
      <c r="Q108" s="118">
        <v>0</v>
      </c>
      <c r="R108" s="118">
        <v>0</v>
      </c>
      <c r="S108" s="118">
        <f t="shared" si="10"/>
        <v>2139777.0500000003</v>
      </c>
      <c r="T108" s="118">
        <f t="shared" si="11"/>
        <v>3898.3003279285849</v>
      </c>
      <c r="U108" s="118">
        <f>T108</f>
        <v>3898.3003279285849</v>
      </c>
      <c r="V108" s="183">
        <f t="shared" si="12"/>
        <v>0</v>
      </c>
      <c r="W108" s="183"/>
      <c r="X108" s="183"/>
      <c r="Y108" s="64">
        <f t="shared" si="13"/>
        <v>3386.7021315357993</v>
      </c>
      <c r="AA108" s="64">
        <f t="shared" si="14"/>
        <v>356</v>
      </c>
      <c r="AC108" s="64" t="s">
        <v>1181</v>
      </c>
      <c r="AD108" s="64">
        <v>331</v>
      </c>
      <c r="AH108" s="64" t="e">
        <f t="shared" si="15"/>
        <v>#N/A</v>
      </c>
      <c r="AJ108" s="64" t="s">
        <v>609</v>
      </c>
      <c r="AK108" s="64">
        <v>1425</v>
      </c>
      <c r="AS108" s="64" t="e">
        <f t="shared" si="16"/>
        <v>#N/A</v>
      </c>
    </row>
    <row r="109" spans="1:45" s="64" customFormat="1" ht="36" customHeight="1" x14ac:dyDescent="0.9">
      <c r="A109" s="64">
        <v>1</v>
      </c>
      <c r="B109" s="92">
        <f>SUBTOTAL(103,$A$16:A109)</f>
        <v>94</v>
      </c>
      <c r="C109" s="91" t="s">
        <v>1638</v>
      </c>
      <c r="D109" s="126">
        <v>1970</v>
      </c>
      <c r="E109" s="126"/>
      <c r="F109" s="145" t="s">
        <v>273</v>
      </c>
      <c r="G109" s="126">
        <v>5</v>
      </c>
      <c r="H109" s="126">
        <v>4</v>
      </c>
      <c r="I109" s="118">
        <v>3506.9</v>
      </c>
      <c r="J109" s="118">
        <v>3386.1</v>
      </c>
      <c r="K109" s="118">
        <v>3356</v>
      </c>
      <c r="L109" s="127">
        <v>175</v>
      </c>
      <c r="M109" s="126" t="s">
        <v>271</v>
      </c>
      <c r="N109" s="126" t="s">
        <v>275</v>
      </c>
      <c r="O109" s="124" t="s">
        <v>1642</v>
      </c>
      <c r="P109" s="118">
        <v>4640895.0699999994</v>
      </c>
      <c r="Q109" s="118">
        <v>0</v>
      </c>
      <c r="R109" s="118">
        <v>0</v>
      </c>
      <c r="S109" s="118">
        <f t="shared" si="10"/>
        <v>4640895.0699999994</v>
      </c>
      <c r="T109" s="118">
        <f t="shared" si="11"/>
        <v>1323.3611081011718</v>
      </c>
      <c r="U109" s="118">
        <f t="shared" si="17"/>
        <v>1666.199264307508</v>
      </c>
      <c r="V109" s="183">
        <f t="shared" si="12"/>
        <v>342.83815620633618</v>
      </c>
      <c r="W109" s="183"/>
      <c r="X109" s="183"/>
      <c r="Y109" s="64">
        <f t="shared" si="13"/>
        <v>1666.199264307508</v>
      </c>
      <c r="AA109" s="64">
        <f t="shared" si="14"/>
        <v>1119</v>
      </c>
      <c r="AC109" s="64" t="s">
        <v>1188</v>
      </c>
      <c r="AD109" s="64">
        <v>477</v>
      </c>
      <c r="AH109" s="64" t="e">
        <f t="shared" si="15"/>
        <v>#N/A</v>
      </c>
      <c r="AJ109" s="64" t="s">
        <v>436</v>
      </c>
      <c r="AK109" s="64">
        <v>1050</v>
      </c>
      <c r="AS109" s="64" t="e">
        <f t="shared" si="16"/>
        <v>#N/A</v>
      </c>
    </row>
    <row r="110" spans="1:45" s="64" customFormat="1" ht="36" customHeight="1" x14ac:dyDescent="0.9">
      <c r="A110" s="64">
        <v>1</v>
      </c>
      <c r="B110" s="92">
        <f>SUBTOTAL(103,$A$16:A110)</f>
        <v>95</v>
      </c>
      <c r="C110" s="91" t="s">
        <v>1639</v>
      </c>
      <c r="D110" s="126">
        <v>1960</v>
      </c>
      <c r="E110" s="126"/>
      <c r="F110" s="145" t="s">
        <v>273</v>
      </c>
      <c r="G110" s="126">
        <v>4</v>
      </c>
      <c r="H110" s="126">
        <v>2</v>
      </c>
      <c r="I110" s="118">
        <v>1387.7</v>
      </c>
      <c r="J110" s="118">
        <v>1266.5999999999999</v>
      </c>
      <c r="K110" s="118">
        <v>1266.5999999999999</v>
      </c>
      <c r="L110" s="127">
        <v>80</v>
      </c>
      <c r="M110" s="126" t="s">
        <v>271</v>
      </c>
      <c r="N110" s="126" t="s">
        <v>275</v>
      </c>
      <c r="O110" s="124" t="s">
        <v>1413</v>
      </c>
      <c r="P110" s="118">
        <v>3059671.4</v>
      </c>
      <c r="Q110" s="118">
        <v>0</v>
      </c>
      <c r="R110" s="118">
        <v>0</v>
      </c>
      <c r="S110" s="118">
        <f t="shared" si="10"/>
        <v>3059671.4</v>
      </c>
      <c r="T110" s="118">
        <f t="shared" si="11"/>
        <v>2204.8507602507743</v>
      </c>
      <c r="U110" s="118">
        <f>AG110</f>
        <v>4770.3733939681042</v>
      </c>
      <c r="V110" s="183">
        <f t="shared" si="12"/>
        <v>2565.5226337173299</v>
      </c>
      <c r="W110" s="183"/>
      <c r="X110" s="183"/>
      <c r="Y110" s="64" t="e">
        <f t="shared" si="13"/>
        <v>#N/A</v>
      </c>
      <c r="AA110" s="64" t="e">
        <f t="shared" si="14"/>
        <v>#N/A</v>
      </c>
      <c r="AC110" s="64" t="s">
        <v>1324</v>
      </c>
      <c r="AD110" s="64">
        <v>590</v>
      </c>
      <c r="AG110" s="64">
        <f>AH110*6191.24/J110</f>
        <v>4770.3733939681042</v>
      </c>
      <c r="AH110" s="64">
        <f t="shared" si="15"/>
        <v>975.92</v>
      </c>
      <c r="AJ110" s="64" t="s">
        <v>815</v>
      </c>
      <c r="AK110" s="64">
        <v>626</v>
      </c>
      <c r="AS110" s="64" t="e">
        <f t="shared" si="16"/>
        <v>#N/A</v>
      </c>
    </row>
    <row r="111" spans="1:45" s="64" customFormat="1" ht="36" customHeight="1" x14ac:dyDescent="0.9">
      <c r="A111" s="64">
        <v>1</v>
      </c>
      <c r="B111" s="92">
        <f>SUBTOTAL(103,$A$16:A111)</f>
        <v>96</v>
      </c>
      <c r="C111" s="91" t="s">
        <v>1640</v>
      </c>
      <c r="D111" s="126">
        <v>1961</v>
      </c>
      <c r="E111" s="126"/>
      <c r="F111" s="145" t="s">
        <v>273</v>
      </c>
      <c r="G111" s="126">
        <v>4</v>
      </c>
      <c r="H111" s="126">
        <v>2</v>
      </c>
      <c r="I111" s="118">
        <v>1276.7</v>
      </c>
      <c r="J111" s="118">
        <v>1276.7</v>
      </c>
      <c r="K111" s="118">
        <v>1232.9000000000001</v>
      </c>
      <c r="L111" s="127">
        <v>80</v>
      </c>
      <c r="M111" s="126" t="s">
        <v>271</v>
      </c>
      <c r="N111" s="126" t="s">
        <v>275</v>
      </c>
      <c r="O111" s="124" t="s">
        <v>1643</v>
      </c>
      <c r="P111" s="118">
        <v>3080924.7199999997</v>
      </c>
      <c r="Q111" s="118">
        <v>0</v>
      </c>
      <c r="R111" s="118">
        <v>0</v>
      </c>
      <c r="S111" s="118">
        <f t="shared" si="10"/>
        <v>3080924.7199999997</v>
      </c>
      <c r="T111" s="118">
        <f t="shared" si="11"/>
        <v>2413.1939531604917</v>
      </c>
      <c r="U111" s="118">
        <f>Y111</f>
        <v>2891.683715829874</v>
      </c>
      <c r="V111" s="183">
        <f t="shared" si="12"/>
        <v>478.48976266938234</v>
      </c>
      <c r="W111" s="183"/>
      <c r="X111" s="183"/>
      <c r="Y111" s="64">
        <f t="shared" si="13"/>
        <v>2891.683715829874</v>
      </c>
      <c r="AA111" s="64">
        <f t="shared" si="14"/>
        <v>707</v>
      </c>
      <c r="AC111" s="64" t="s">
        <v>1325</v>
      </c>
      <c r="AD111" s="64">
        <v>665</v>
      </c>
      <c r="AH111" s="64" t="e">
        <f t="shared" si="15"/>
        <v>#N/A</v>
      </c>
      <c r="AJ111" s="64" t="s">
        <v>838</v>
      </c>
      <c r="AK111" s="64">
        <v>360</v>
      </c>
      <c r="AS111" s="64" t="e">
        <f t="shared" si="16"/>
        <v>#N/A</v>
      </c>
    </row>
    <row r="112" spans="1:45" s="64" customFormat="1" ht="36" customHeight="1" x14ac:dyDescent="0.9">
      <c r="A112" s="64">
        <v>1</v>
      </c>
      <c r="B112" s="92">
        <f>SUBTOTAL(103,$A$16:A112)</f>
        <v>97</v>
      </c>
      <c r="C112" s="91" t="s">
        <v>1641</v>
      </c>
      <c r="D112" s="126">
        <v>1953</v>
      </c>
      <c r="E112" s="126"/>
      <c r="F112" s="145" t="s">
        <v>273</v>
      </c>
      <c r="G112" s="126">
        <v>2</v>
      </c>
      <c r="H112" s="126">
        <v>2</v>
      </c>
      <c r="I112" s="118">
        <v>620.29999999999995</v>
      </c>
      <c r="J112" s="118">
        <v>581.20000000000005</v>
      </c>
      <c r="K112" s="118">
        <v>581.20000000000005</v>
      </c>
      <c r="L112" s="127">
        <v>30</v>
      </c>
      <c r="M112" s="126" t="s">
        <v>271</v>
      </c>
      <c r="N112" s="126" t="s">
        <v>275</v>
      </c>
      <c r="O112" s="124" t="s">
        <v>357</v>
      </c>
      <c r="P112" s="118">
        <v>3180464.5600000005</v>
      </c>
      <c r="Q112" s="118">
        <v>0</v>
      </c>
      <c r="R112" s="118">
        <v>0</v>
      </c>
      <c r="S112" s="118">
        <f t="shared" si="10"/>
        <v>3180464.5600000005</v>
      </c>
      <c r="T112" s="118">
        <f t="shared" si="11"/>
        <v>5127.3005964855729</v>
      </c>
      <c r="U112" s="118">
        <f>AG112</f>
        <v>6828.2602202339976</v>
      </c>
      <c r="V112" s="183">
        <f t="shared" si="12"/>
        <v>1700.9596237484247</v>
      </c>
      <c r="W112" s="183"/>
      <c r="X112" s="183"/>
      <c r="Y112" s="64" t="e">
        <f t="shared" si="13"/>
        <v>#N/A</v>
      </c>
      <c r="AA112" s="64" t="e">
        <f t="shared" si="14"/>
        <v>#N/A</v>
      </c>
      <c r="AC112" s="64" t="s">
        <v>1326</v>
      </c>
      <c r="AD112" s="64">
        <v>246</v>
      </c>
      <c r="AG112" s="64">
        <f>AH112*6191.24/J112</f>
        <v>6828.2602202339976</v>
      </c>
      <c r="AH112" s="64">
        <f t="shared" si="15"/>
        <v>641</v>
      </c>
      <c r="AJ112" s="64" t="s">
        <v>395</v>
      </c>
      <c r="AK112" s="64">
        <v>7025.9</v>
      </c>
      <c r="AS112" s="64" t="e">
        <f t="shared" si="16"/>
        <v>#N/A</v>
      </c>
    </row>
    <row r="113" spans="1:45" s="64" customFormat="1" ht="36" customHeight="1" x14ac:dyDescent="0.9">
      <c r="A113" s="64">
        <v>1</v>
      </c>
      <c r="B113" s="92">
        <f>SUBTOTAL(103,$A$16:A113)</f>
        <v>98</v>
      </c>
      <c r="C113" s="91" t="s">
        <v>1663</v>
      </c>
      <c r="D113" s="126">
        <v>1959</v>
      </c>
      <c r="E113" s="126"/>
      <c r="F113" s="145" t="s">
        <v>273</v>
      </c>
      <c r="G113" s="126">
        <v>2</v>
      </c>
      <c r="H113" s="126">
        <v>1</v>
      </c>
      <c r="I113" s="118">
        <v>412.6</v>
      </c>
      <c r="J113" s="118">
        <v>256.39999999999998</v>
      </c>
      <c r="K113" s="118">
        <v>256.39999999999998</v>
      </c>
      <c r="L113" s="127">
        <v>20</v>
      </c>
      <c r="M113" s="126" t="s">
        <v>271</v>
      </c>
      <c r="N113" s="126" t="s">
        <v>275</v>
      </c>
      <c r="O113" s="124" t="s">
        <v>1416</v>
      </c>
      <c r="P113" s="118">
        <v>2491059.7799999998</v>
      </c>
      <c r="Q113" s="118">
        <v>0</v>
      </c>
      <c r="R113" s="118">
        <v>0</v>
      </c>
      <c r="S113" s="118">
        <f t="shared" si="10"/>
        <v>2491059.7799999998</v>
      </c>
      <c r="T113" s="118">
        <f t="shared" si="11"/>
        <v>6037.4691711100331</v>
      </c>
      <c r="U113" s="118">
        <f>Y113</f>
        <v>6353.2321861366936</v>
      </c>
      <c r="V113" s="183">
        <f t="shared" si="12"/>
        <v>315.76301502666047</v>
      </c>
      <c r="W113" s="183"/>
      <c r="X113" s="183"/>
      <c r="Y113" s="64">
        <f t="shared" si="13"/>
        <v>6353.2321861366936</v>
      </c>
      <c r="AA113" s="64">
        <f t="shared" si="14"/>
        <v>502</v>
      </c>
      <c r="AC113" s="64" t="s">
        <v>1327</v>
      </c>
      <c r="AD113" s="64">
        <v>253</v>
      </c>
      <c r="AH113" s="64" t="e">
        <f t="shared" si="15"/>
        <v>#N/A</v>
      </c>
      <c r="AJ113" s="64" t="s">
        <v>635</v>
      </c>
      <c r="AK113" s="64">
        <v>1159.1199999999999</v>
      </c>
      <c r="AS113" s="64" t="e">
        <f t="shared" si="16"/>
        <v>#N/A</v>
      </c>
    </row>
    <row r="114" spans="1:45" s="64" customFormat="1" ht="36" customHeight="1" x14ac:dyDescent="0.9">
      <c r="A114" s="64">
        <v>1</v>
      </c>
      <c r="B114" s="92">
        <f>SUBTOTAL(103,$A$16:A114)</f>
        <v>99</v>
      </c>
      <c r="C114" s="91" t="s">
        <v>1664</v>
      </c>
      <c r="D114" s="126">
        <v>1984</v>
      </c>
      <c r="E114" s="126"/>
      <c r="F114" s="145" t="s">
        <v>319</v>
      </c>
      <c r="G114" s="126">
        <v>14</v>
      </c>
      <c r="H114" s="126">
        <v>1</v>
      </c>
      <c r="I114" s="118">
        <v>4285.8999999999996</v>
      </c>
      <c r="J114" s="118">
        <v>4230</v>
      </c>
      <c r="K114" s="118">
        <v>3928.3</v>
      </c>
      <c r="L114" s="127">
        <v>191</v>
      </c>
      <c r="M114" s="126" t="s">
        <v>271</v>
      </c>
      <c r="N114" s="126" t="s">
        <v>275</v>
      </c>
      <c r="O114" s="124" t="s">
        <v>1415</v>
      </c>
      <c r="P114" s="118">
        <v>2792067</v>
      </c>
      <c r="Q114" s="118">
        <v>0</v>
      </c>
      <c r="R114" s="118">
        <v>0</v>
      </c>
      <c r="S114" s="118">
        <f t="shared" si="10"/>
        <v>2792067</v>
      </c>
      <c r="T114" s="118">
        <f t="shared" si="11"/>
        <v>651.45407032361936</v>
      </c>
      <c r="U114" s="118">
        <f>T114</f>
        <v>651.45407032361936</v>
      </c>
      <c r="V114" s="183">
        <f t="shared" si="12"/>
        <v>0</v>
      </c>
      <c r="W114" s="183"/>
      <c r="X114" s="183"/>
      <c r="Y114" s="64" t="e">
        <f t="shared" si="13"/>
        <v>#N/A</v>
      </c>
      <c r="AA114" s="64" t="e">
        <f t="shared" si="14"/>
        <v>#N/A</v>
      </c>
      <c r="AC114" s="64" t="s">
        <v>1601</v>
      </c>
      <c r="AD114" s="64">
        <v>792</v>
      </c>
      <c r="AH114" s="64" t="e">
        <f t="shared" si="15"/>
        <v>#N/A</v>
      </c>
      <c r="AJ114" s="64" t="s">
        <v>668</v>
      </c>
      <c r="AK114" s="64">
        <v>782.6</v>
      </c>
      <c r="AR114" s="64">
        <f>AS114*2492917/I114</f>
        <v>581.6554282647752</v>
      </c>
      <c r="AS114" s="64">
        <f t="shared" si="16"/>
        <v>1</v>
      </c>
    </row>
    <row r="115" spans="1:45" s="64" customFormat="1" ht="36" customHeight="1" x14ac:dyDescent="0.9">
      <c r="A115" s="64">
        <v>1</v>
      </c>
      <c r="B115" s="92">
        <f>SUBTOTAL(103,$A$16:A115)</f>
        <v>100</v>
      </c>
      <c r="C115" s="91" t="s">
        <v>1665</v>
      </c>
      <c r="D115" s="126">
        <v>1962</v>
      </c>
      <c r="E115" s="126"/>
      <c r="F115" s="145" t="s">
        <v>273</v>
      </c>
      <c r="G115" s="126">
        <v>2</v>
      </c>
      <c r="H115" s="126">
        <v>2</v>
      </c>
      <c r="I115" s="118">
        <v>653.29999999999995</v>
      </c>
      <c r="J115" s="118">
        <v>458.8</v>
      </c>
      <c r="K115" s="118">
        <v>416.1</v>
      </c>
      <c r="L115" s="127">
        <v>50</v>
      </c>
      <c r="M115" s="126" t="s">
        <v>271</v>
      </c>
      <c r="N115" s="126" t="s">
        <v>275</v>
      </c>
      <c r="O115" s="124" t="s">
        <v>1416</v>
      </c>
      <c r="P115" s="118">
        <v>2871356.72</v>
      </c>
      <c r="Q115" s="118">
        <v>0</v>
      </c>
      <c r="R115" s="118">
        <v>0</v>
      </c>
      <c r="S115" s="118">
        <f>P115-R115-Q115</f>
        <v>2871356.72</v>
      </c>
      <c r="T115" s="118">
        <f t="shared" si="11"/>
        <v>4395.1579978570344</v>
      </c>
      <c r="U115" s="118">
        <f>Y115</f>
        <v>5315.3176182458292</v>
      </c>
      <c r="V115" s="183">
        <f t="shared" si="12"/>
        <v>920.15962038879479</v>
      </c>
      <c r="W115" s="183"/>
      <c r="X115" s="183"/>
      <c r="Y115" s="64">
        <f t="shared" si="13"/>
        <v>5315.3176182458292</v>
      </c>
      <c r="AA115" s="64">
        <f t="shared" si="14"/>
        <v>665</v>
      </c>
      <c r="AC115" s="64" t="s">
        <v>1613</v>
      </c>
      <c r="AD115" s="64">
        <v>504</v>
      </c>
      <c r="AH115" s="64" t="e">
        <f t="shared" si="15"/>
        <v>#N/A</v>
      </c>
      <c r="AJ115" s="64" t="s">
        <v>712</v>
      </c>
      <c r="AK115" s="64">
        <v>787</v>
      </c>
      <c r="AS115" s="64" t="e">
        <f t="shared" si="16"/>
        <v>#N/A</v>
      </c>
    </row>
    <row r="116" spans="1:45" s="64" customFormat="1" ht="36" customHeight="1" x14ac:dyDescent="0.9">
      <c r="B116" s="91" t="s">
        <v>781</v>
      </c>
      <c r="C116" s="172"/>
      <c r="D116" s="126" t="s">
        <v>916</v>
      </c>
      <c r="E116" s="126" t="s">
        <v>916</v>
      </c>
      <c r="F116" s="126" t="s">
        <v>916</v>
      </c>
      <c r="G116" s="126" t="s">
        <v>916</v>
      </c>
      <c r="H116" s="126" t="s">
        <v>916</v>
      </c>
      <c r="I116" s="117">
        <f>SUM(I117:I148)</f>
        <v>57208.5</v>
      </c>
      <c r="J116" s="117">
        <f>SUM(J117:J148)</f>
        <v>51290.5</v>
      </c>
      <c r="K116" s="117">
        <f>SUM(K117:K148)</f>
        <v>45684.500000000007</v>
      </c>
      <c r="L116" s="127">
        <f>SUM(L117:L148)</f>
        <v>2332</v>
      </c>
      <c r="M116" s="126" t="s">
        <v>916</v>
      </c>
      <c r="N116" s="126" t="s">
        <v>916</v>
      </c>
      <c r="O116" s="124" t="s">
        <v>916</v>
      </c>
      <c r="P116" s="117">
        <v>90231479.819999963</v>
      </c>
      <c r="Q116" s="117">
        <f>SUM(Q117:Q148)</f>
        <v>0</v>
      </c>
      <c r="R116" s="117">
        <f>SUM(R117:R148)</f>
        <v>0</v>
      </c>
      <c r="S116" s="117">
        <f>SUM(S117:S148)</f>
        <v>90231479.819999963</v>
      </c>
      <c r="T116" s="118">
        <f t="shared" si="11"/>
        <v>1577.2390434987801</v>
      </c>
      <c r="U116" s="118">
        <f>MAX(U117:U148)</f>
        <v>16377.494389328887</v>
      </c>
      <c r="V116" s="183">
        <f t="shared" si="12"/>
        <v>14800.255345830108</v>
      </c>
      <c r="W116" s="183"/>
      <c r="X116" s="183"/>
      <c r="Y116" s="64" t="e">
        <f t="shared" si="13"/>
        <v>#N/A</v>
      </c>
      <c r="AA116" s="64" t="e">
        <f t="shared" si="14"/>
        <v>#N/A</v>
      </c>
      <c r="AC116" s="64" t="s">
        <v>1614</v>
      </c>
      <c r="AD116" s="64">
        <v>630</v>
      </c>
      <c r="AH116" s="64" t="e">
        <f t="shared" si="15"/>
        <v>#N/A</v>
      </c>
      <c r="AJ116" s="64" t="s">
        <v>693</v>
      </c>
      <c r="AK116" s="64">
        <v>585.5</v>
      </c>
      <c r="AS116" s="64" t="e">
        <f t="shared" si="16"/>
        <v>#N/A</v>
      </c>
    </row>
    <row r="117" spans="1:45" s="64" customFormat="1" ht="36" customHeight="1" x14ac:dyDescent="0.9">
      <c r="A117" s="64">
        <v>1</v>
      </c>
      <c r="B117" s="92">
        <f>SUBTOTAL(103,$A$16:A117)</f>
        <v>101</v>
      </c>
      <c r="C117" s="91" t="s">
        <v>453</v>
      </c>
      <c r="D117" s="126">
        <v>1966</v>
      </c>
      <c r="E117" s="126"/>
      <c r="F117" s="145" t="s">
        <v>273</v>
      </c>
      <c r="G117" s="126">
        <v>2</v>
      </c>
      <c r="H117" s="126">
        <v>2</v>
      </c>
      <c r="I117" s="118">
        <v>774.9</v>
      </c>
      <c r="J117" s="118">
        <v>707.3</v>
      </c>
      <c r="K117" s="118">
        <v>707.3</v>
      </c>
      <c r="L117" s="127">
        <v>39</v>
      </c>
      <c r="M117" s="126" t="s">
        <v>271</v>
      </c>
      <c r="N117" s="126" t="s">
        <v>275</v>
      </c>
      <c r="O117" s="124" t="s">
        <v>348</v>
      </c>
      <c r="P117" s="118">
        <v>3009959</v>
      </c>
      <c r="Q117" s="118">
        <v>0</v>
      </c>
      <c r="R117" s="118">
        <v>0</v>
      </c>
      <c r="S117" s="118">
        <f t="shared" ref="S117:S147" si="18">P117-Q117-R117</f>
        <v>3009959</v>
      </c>
      <c r="T117" s="118">
        <f t="shared" si="11"/>
        <v>3884.319267002194</v>
      </c>
      <c r="U117" s="118">
        <f>Y117</f>
        <v>4029.7282229965158</v>
      </c>
      <c r="V117" s="183">
        <f t="shared" si="12"/>
        <v>145.40895599432179</v>
      </c>
      <c r="W117" s="183"/>
      <c r="X117" s="183"/>
      <c r="Y117" s="64">
        <f t="shared" si="13"/>
        <v>4029.7282229965158</v>
      </c>
      <c r="AA117" s="64">
        <f t="shared" si="14"/>
        <v>598</v>
      </c>
      <c r="AC117" s="64" t="s">
        <v>1644</v>
      </c>
      <c r="AD117" s="64">
        <v>826</v>
      </c>
      <c r="AH117" s="64" t="e">
        <f t="shared" si="15"/>
        <v>#N/A</v>
      </c>
      <c r="AJ117" s="64" t="s">
        <v>250</v>
      </c>
      <c r="AK117" s="64">
        <v>568.70000000000005</v>
      </c>
      <c r="AS117" s="64" t="e">
        <f t="shared" si="16"/>
        <v>#N/A</v>
      </c>
    </row>
    <row r="118" spans="1:45" s="64" customFormat="1" ht="36" customHeight="1" x14ac:dyDescent="0.9">
      <c r="A118" s="64">
        <v>1</v>
      </c>
      <c r="B118" s="92">
        <f>SUBTOTAL(103,$A$16:A118)</f>
        <v>102</v>
      </c>
      <c r="C118" s="91" t="s">
        <v>454</v>
      </c>
      <c r="D118" s="126">
        <v>1959</v>
      </c>
      <c r="E118" s="126"/>
      <c r="F118" s="145" t="s">
        <v>273</v>
      </c>
      <c r="G118" s="126">
        <v>2</v>
      </c>
      <c r="H118" s="126">
        <v>2</v>
      </c>
      <c r="I118" s="118">
        <v>680.5</v>
      </c>
      <c r="J118" s="118">
        <v>632.1</v>
      </c>
      <c r="K118" s="118">
        <v>632.1</v>
      </c>
      <c r="L118" s="127">
        <v>38</v>
      </c>
      <c r="M118" s="126" t="s">
        <v>271</v>
      </c>
      <c r="N118" s="126" t="s">
        <v>272</v>
      </c>
      <c r="O118" s="124" t="s">
        <v>274</v>
      </c>
      <c r="P118" s="118">
        <v>3099944.98</v>
      </c>
      <c r="Q118" s="118">
        <v>0</v>
      </c>
      <c r="R118" s="118">
        <v>0</v>
      </c>
      <c r="S118" s="118">
        <f t="shared" si="18"/>
        <v>3099944.98</v>
      </c>
      <c r="T118" s="118">
        <f t="shared" si="11"/>
        <v>4555.3930639235859</v>
      </c>
      <c r="U118" s="118">
        <f>T118</f>
        <v>4555.3930639235859</v>
      </c>
      <c r="V118" s="183">
        <f t="shared" si="12"/>
        <v>0</v>
      </c>
      <c r="W118" s="183"/>
      <c r="X118" s="183"/>
      <c r="Y118" s="64">
        <f t="shared" si="13"/>
        <v>4544.2321234386491</v>
      </c>
      <c r="AA118" s="64">
        <f t="shared" si="14"/>
        <v>592.20000000000005</v>
      </c>
      <c r="AC118" s="64" t="s">
        <v>787</v>
      </c>
      <c r="AD118" s="64">
        <v>510</v>
      </c>
      <c r="AH118" s="64" t="e">
        <f t="shared" si="15"/>
        <v>#N/A</v>
      </c>
      <c r="AJ118" s="64" t="s">
        <v>183</v>
      </c>
      <c r="AK118" s="64">
        <v>437</v>
      </c>
      <c r="AS118" s="64" t="e">
        <f t="shared" si="16"/>
        <v>#N/A</v>
      </c>
    </row>
    <row r="119" spans="1:45" s="64" customFormat="1" ht="36" customHeight="1" x14ac:dyDescent="0.9">
      <c r="A119" s="64">
        <v>1</v>
      </c>
      <c r="B119" s="92">
        <f>SUBTOTAL(103,$A$16:A119)</f>
        <v>103</v>
      </c>
      <c r="C119" s="91" t="s">
        <v>455</v>
      </c>
      <c r="D119" s="126">
        <v>1958</v>
      </c>
      <c r="E119" s="126"/>
      <c r="F119" s="145" t="s">
        <v>273</v>
      </c>
      <c r="G119" s="126">
        <v>2</v>
      </c>
      <c r="H119" s="126">
        <v>2</v>
      </c>
      <c r="I119" s="118">
        <v>615.29999999999995</v>
      </c>
      <c r="J119" s="118">
        <v>568.6</v>
      </c>
      <c r="K119" s="118">
        <v>492.1</v>
      </c>
      <c r="L119" s="127">
        <v>25</v>
      </c>
      <c r="M119" s="126" t="s">
        <v>271</v>
      </c>
      <c r="N119" s="126" t="s">
        <v>272</v>
      </c>
      <c r="O119" s="124" t="s">
        <v>274</v>
      </c>
      <c r="P119" s="118">
        <v>59874.84</v>
      </c>
      <c r="Q119" s="118">
        <v>0</v>
      </c>
      <c r="R119" s="118">
        <v>0</v>
      </c>
      <c r="S119" s="118">
        <f>P119-Q119-R119</f>
        <v>59874.84</v>
      </c>
      <c r="T119" s="118">
        <f t="shared" si="11"/>
        <v>97.309995124329603</v>
      </c>
      <c r="U119" s="118">
        <f>T119</f>
        <v>97.309995124329603</v>
      </c>
      <c r="V119" s="183">
        <f t="shared" si="12"/>
        <v>0</v>
      </c>
      <c r="W119" s="183"/>
      <c r="X119" s="183"/>
      <c r="Y119" s="64">
        <f t="shared" si="13"/>
        <v>4485.1638225255983</v>
      </c>
      <c r="AA119" s="64">
        <f t="shared" si="14"/>
        <v>528.5</v>
      </c>
      <c r="AC119" s="64" t="s">
        <v>788</v>
      </c>
      <c r="AD119" s="64">
        <v>265</v>
      </c>
      <c r="AH119" s="64" t="e">
        <f t="shared" si="15"/>
        <v>#N/A</v>
      </c>
      <c r="AJ119" s="64" t="s">
        <v>817</v>
      </c>
      <c r="AK119" s="64">
        <v>322</v>
      </c>
      <c r="AS119" s="64" t="e">
        <f t="shared" si="16"/>
        <v>#N/A</v>
      </c>
    </row>
    <row r="120" spans="1:45" s="64" customFormat="1" ht="36" customHeight="1" x14ac:dyDescent="0.9">
      <c r="A120" s="64">
        <v>1</v>
      </c>
      <c r="B120" s="92">
        <f>SUBTOTAL(103,$A$16:A120)</f>
        <v>104</v>
      </c>
      <c r="C120" s="91" t="s">
        <v>456</v>
      </c>
      <c r="D120" s="126">
        <v>1969</v>
      </c>
      <c r="E120" s="126"/>
      <c r="F120" s="145" t="s">
        <v>273</v>
      </c>
      <c r="G120" s="126">
        <v>2</v>
      </c>
      <c r="H120" s="126">
        <v>2</v>
      </c>
      <c r="I120" s="118">
        <v>725.2</v>
      </c>
      <c r="J120" s="118">
        <v>674.9</v>
      </c>
      <c r="K120" s="118">
        <v>506.2</v>
      </c>
      <c r="L120" s="127">
        <v>25</v>
      </c>
      <c r="M120" s="126" t="s">
        <v>271</v>
      </c>
      <c r="N120" s="126" t="s">
        <v>272</v>
      </c>
      <c r="O120" s="124" t="s">
        <v>274</v>
      </c>
      <c r="P120" s="118">
        <v>66096.710000000006</v>
      </c>
      <c r="Q120" s="118">
        <v>0</v>
      </c>
      <c r="R120" s="118">
        <v>0</v>
      </c>
      <c r="S120" s="118">
        <f>P120-Q120-R120</f>
        <v>66096.710000000006</v>
      </c>
      <c r="T120" s="118">
        <f t="shared" si="11"/>
        <v>91.142733039161612</v>
      </c>
      <c r="U120" s="118">
        <f>T120</f>
        <v>91.142733039161612</v>
      </c>
      <c r="V120" s="183">
        <f t="shared" si="12"/>
        <v>0</v>
      </c>
      <c r="W120" s="183"/>
      <c r="X120" s="183"/>
      <c r="Y120" s="64">
        <f t="shared" si="13"/>
        <v>6120.4219525648095</v>
      </c>
      <c r="AA120" s="64">
        <f t="shared" si="14"/>
        <v>850</v>
      </c>
      <c r="AC120" s="64" t="s">
        <v>794</v>
      </c>
      <c r="AD120" s="64">
        <v>675</v>
      </c>
      <c r="AH120" s="64" t="e">
        <f t="shared" si="15"/>
        <v>#N/A</v>
      </c>
      <c r="AJ120" s="64" t="s">
        <v>168</v>
      </c>
      <c r="AK120" s="64">
        <v>98</v>
      </c>
      <c r="AS120" s="64" t="e">
        <f t="shared" si="16"/>
        <v>#N/A</v>
      </c>
    </row>
    <row r="121" spans="1:45" s="64" customFormat="1" ht="36" customHeight="1" x14ac:dyDescent="0.9">
      <c r="A121" s="64">
        <v>1</v>
      </c>
      <c r="B121" s="92">
        <f>SUBTOTAL(103,$A$16:A121)</f>
        <v>105</v>
      </c>
      <c r="C121" s="91" t="s">
        <v>457</v>
      </c>
      <c r="D121" s="126">
        <v>1959</v>
      </c>
      <c r="E121" s="126"/>
      <c r="F121" s="145" t="s">
        <v>273</v>
      </c>
      <c r="G121" s="126">
        <v>2</v>
      </c>
      <c r="H121" s="126">
        <v>2</v>
      </c>
      <c r="I121" s="118">
        <v>654.20000000000005</v>
      </c>
      <c r="J121" s="118">
        <v>602.9</v>
      </c>
      <c r="K121" s="118">
        <v>534.79999999999995</v>
      </c>
      <c r="L121" s="127">
        <v>34</v>
      </c>
      <c r="M121" s="126" t="s">
        <v>271</v>
      </c>
      <c r="N121" s="126" t="s">
        <v>272</v>
      </c>
      <c r="O121" s="124" t="s">
        <v>274</v>
      </c>
      <c r="P121" s="118">
        <v>2958496.97</v>
      </c>
      <c r="Q121" s="118">
        <v>0</v>
      </c>
      <c r="R121" s="118">
        <v>0</v>
      </c>
      <c r="S121" s="118">
        <f t="shared" si="18"/>
        <v>2958496.97</v>
      </c>
      <c r="T121" s="118">
        <f t="shared" si="11"/>
        <v>4522.3127025374506</v>
      </c>
      <c r="U121" s="118">
        <f>Y121</f>
        <v>4818.7907031488849</v>
      </c>
      <c r="V121" s="183">
        <f t="shared" si="12"/>
        <v>296.47800061143425</v>
      </c>
      <c r="W121" s="183"/>
      <c r="X121" s="183"/>
      <c r="Y121" s="64">
        <f t="shared" si="13"/>
        <v>4818.7907031488849</v>
      </c>
      <c r="AA121" s="64">
        <f t="shared" si="14"/>
        <v>603.71</v>
      </c>
      <c r="AC121" s="64" t="s">
        <v>795</v>
      </c>
      <c r="AD121" s="64">
        <v>1319.27</v>
      </c>
      <c r="AH121" s="64" t="e">
        <f t="shared" si="15"/>
        <v>#N/A</v>
      </c>
      <c r="AJ121" s="64" t="s">
        <v>199</v>
      </c>
      <c r="AK121" s="64">
        <v>455</v>
      </c>
      <c r="AS121" s="64" t="e">
        <f t="shared" si="16"/>
        <v>#N/A</v>
      </c>
    </row>
    <row r="122" spans="1:45" s="64" customFormat="1" ht="36" customHeight="1" x14ac:dyDescent="0.9">
      <c r="A122" s="64">
        <v>1</v>
      </c>
      <c r="B122" s="92">
        <f>SUBTOTAL(103,$A$16:A122)</f>
        <v>106</v>
      </c>
      <c r="C122" s="91" t="s">
        <v>458</v>
      </c>
      <c r="D122" s="126">
        <v>1959</v>
      </c>
      <c r="E122" s="126"/>
      <c r="F122" s="145" t="s">
        <v>273</v>
      </c>
      <c r="G122" s="126">
        <v>2</v>
      </c>
      <c r="H122" s="126">
        <v>2</v>
      </c>
      <c r="I122" s="118">
        <v>672.5</v>
      </c>
      <c r="J122" s="118">
        <v>622.20000000000005</v>
      </c>
      <c r="K122" s="118">
        <v>579.9</v>
      </c>
      <c r="L122" s="127">
        <v>42</v>
      </c>
      <c r="M122" s="126" t="s">
        <v>271</v>
      </c>
      <c r="N122" s="126" t="s">
        <v>275</v>
      </c>
      <c r="O122" s="124" t="s">
        <v>348</v>
      </c>
      <c r="P122" s="118">
        <v>2357467.23</v>
      </c>
      <c r="Q122" s="118">
        <v>0</v>
      </c>
      <c r="R122" s="118">
        <v>0</v>
      </c>
      <c r="S122" s="118">
        <f t="shared" si="18"/>
        <v>2357467.23</v>
      </c>
      <c r="T122" s="118">
        <f t="shared" si="11"/>
        <v>3505.5274795539035</v>
      </c>
      <c r="U122" s="118">
        <f>Y122</f>
        <v>4568.7838215613383</v>
      </c>
      <c r="V122" s="183">
        <f t="shared" si="12"/>
        <v>1063.2563420074348</v>
      </c>
      <c r="W122" s="183"/>
      <c r="X122" s="183"/>
      <c r="Y122" s="64">
        <f t="shared" si="13"/>
        <v>4568.7838215613383</v>
      </c>
      <c r="AA122" s="64">
        <f t="shared" si="14"/>
        <v>588.4</v>
      </c>
      <c r="AC122" s="64" t="s">
        <v>796</v>
      </c>
      <c r="AD122" s="64">
        <v>1080</v>
      </c>
      <c r="AH122" s="64" t="e">
        <f t="shared" si="15"/>
        <v>#N/A</v>
      </c>
      <c r="AJ122" s="64" t="s">
        <v>200</v>
      </c>
      <c r="AK122" s="64">
        <v>455</v>
      </c>
      <c r="AS122" s="64" t="e">
        <f t="shared" si="16"/>
        <v>#N/A</v>
      </c>
    </row>
    <row r="123" spans="1:45" s="64" customFormat="1" ht="36" customHeight="1" x14ac:dyDescent="0.9">
      <c r="A123" s="64">
        <v>1</v>
      </c>
      <c r="B123" s="92">
        <f>SUBTOTAL(103,$A$16:A123)</f>
        <v>107</v>
      </c>
      <c r="C123" s="91" t="s">
        <v>459</v>
      </c>
      <c r="D123" s="126">
        <v>1962</v>
      </c>
      <c r="E123" s="126"/>
      <c r="F123" s="145" t="s">
        <v>273</v>
      </c>
      <c r="G123" s="126">
        <v>3</v>
      </c>
      <c r="H123" s="126">
        <v>2</v>
      </c>
      <c r="I123" s="118">
        <v>1048.7</v>
      </c>
      <c r="J123" s="118">
        <v>975.1</v>
      </c>
      <c r="K123" s="118">
        <v>975.1</v>
      </c>
      <c r="L123" s="127">
        <v>56</v>
      </c>
      <c r="M123" s="126" t="s">
        <v>271</v>
      </c>
      <c r="N123" s="126" t="s">
        <v>275</v>
      </c>
      <c r="O123" s="124" t="s">
        <v>354</v>
      </c>
      <c r="P123" s="118">
        <v>3254641.7199999997</v>
      </c>
      <c r="Q123" s="118">
        <v>0</v>
      </c>
      <c r="R123" s="118">
        <v>0</v>
      </c>
      <c r="S123" s="118">
        <f t="shared" si="18"/>
        <v>3254641.7199999997</v>
      </c>
      <c r="T123" s="118">
        <f t="shared" si="11"/>
        <v>3103.501211023171</v>
      </c>
      <c r="U123" s="118">
        <f>T123</f>
        <v>3103.501211023171</v>
      </c>
      <c r="V123" s="183">
        <f t="shared" si="12"/>
        <v>0</v>
      </c>
      <c r="W123" s="183"/>
      <c r="X123" s="183"/>
      <c r="Y123" s="64">
        <f t="shared" si="13"/>
        <v>2765.457711452274</v>
      </c>
      <c r="AA123" s="64">
        <f t="shared" si="14"/>
        <v>555.39</v>
      </c>
      <c r="AC123" s="64" t="s">
        <v>797</v>
      </c>
      <c r="AD123" s="64">
        <v>1375.9</v>
      </c>
      <c r="AH123" s="64" t="e">
        <f t="shared" si="15"/>
        <v>#N/A</v>
      </c>
      <c r="AJ123" s="64" t="s">
        <v>819</v>
      </c>
      <c r="AK123" s="64">
        <v>333.4</v>
      </c>
      <c r="AS123" s="64" t="e">
        <f t="shared" si="16"/>
        <v>#N/A</v>
      </c>
    </row>
    <row r="124" spans="1:45" s="64" customFormat="1" ht="36" customHeight="1" x14ac:dyDescent="0.9">
      <c r="A124" s="64">
        <v>1</v>
      </c>
      <c r="B124" s="92">
        <f>SUBTOTAL(103,$A$16:A124)</f>
        <v>108</v>
      </c>
      <c r="C124" s="91" t="s">
        <v>460</v>
      </c>
      <c r="D124" s="126">
        <v>1962</v>
      </c>
      <c r="E124" s="126"/>
      <c r="F124" s="145" t="s">
        <v>273</v>
      </c>
      <c r="G124" s="126">
        <v>2</v>
      </c>
      <c r="H124" s="126">
        <v>2</v>
      </c>
      <c r="I124" s="118">
        <v>637.20000000000005</v>
      </c>
      <c r="J124" s="118">
        <v>631.1</v>
      </c>
      <c r="K124" s="118">
        <v>631.1</v>
      </c>
      <c r="L124" s="127">
        <v>42</v>
      </c>
      <c r="M124" s="126" t="s">
        <v>271</v>
      </c>
      <c r="N124" s="126" t="s">
        <v>275</v>
      </c>
      <c r="O124" s="124" t="s">
        <v>348</v>
      </c>
      <c r="P124" s="118">
        <v>2742180.7199999997</v>
      </c>
      <c r="Q124" s="118">
        <v>0</v>
      </c>
      <c r="R124" s="118">
        <v>0</v>
      </c>
      <c r="S124" s="118">
        <f t="shared" si="18"/>
        <v>2742180.7199999997</v>
      </c>
      <c r="T124" s="118">
        <f t="shared" si="11"/>
        <v>4303.485122410545</v>
      </c>
      <c r="U124" s="118">
        <f>Y124</f>
        <v>4728.4661016949149</v>
      </c>
      <c r="V124" s="183">
        <f t="shared" si="12"/>
        <v>424.98097928436982</v>
      </c>
      <c r="W124" s="183"/>
      <c r="X124" s="183"/>
      <c r="Y124" s="64">
        <f t="shared" si="13"/>
        <v>4728.4661016949149</v>
      </c>
      <c r="AA124" s="64">
        <f t="shared" si="14"/>
        <v>577</v>
      </c>
      <c r="AC124" s="64" t="s">
        <v>1196</v>
      </c>
      <c r="AD124" s="64">
        <v>1206.22</v>
      </c>
      <c r="AH124" s="64" t="e">
        <f t="shared" si="15"/>
        <v>#N/A</v>
      </c>
      <c r="AS124" s="64" t="e">
        <f t="shared" si="16"/>
        <v>#N/A</v>
      </c>
    </row>
    <row r="125" spans="1:45" s="64" customFormat="1" ht="36" customHeight="1" x14ac:dyDescent="0.9">
      <c r="A125" s="64">
        <v>1</v>
      </c>
      <c r="B125" s="92">
        <f>SUBTOTAL(103,$A$16:A125)</f>
        <v>109</v>
      </c>
      <c r="C125" s="91" t="s">
        <v>461</v>
      </c>
      <c r="D125" s="126">
        <v>1962</v>
      </c>
      <c r="E125" s="126"/>
      <c r="F125" s="145" t="s">
        <v>273</v>
      </c>
      <c r="G125" s="126">
        <v>2</v>
      </c>
      <c r="H125" s="126">
        <v>2</v>
      </c>
      <c r="I125" s="118">
        <v>695</v>
      </c>
      <c r="J125" s="118">
        <v>644</v>
      </c>
      <c r="K125" s="118">
        <v>598</v>
      </c>
      <c r="L125" s="127">
        <v>42</v>
      </c>
      <c r="M125" s="126" t="s">
        <v>271</v>
      </c>
      <c r="N125" s="126" t="s">
        <v>275</v>
      </c>
      <c r="O125" s="124" t="s">
        <v>348</v>
      </c>
      <c r="P125" s="118">
        <v>2974792.63</v>
      </c>
      <c r="Q125" s="118">
        <v>0</v>
      </c>
      <c r="R125" s="118">
        <v>0</v>
      </c>
      <c r="S125" s="118">
        <f t="shared" si="18"/>
        <v>2974792.63</v>
      </c>
      <c r="T125" s="118">
        <f t="shared" si="11"/>
        <v>4280.2771654676253</v>
      </c>
      <c r="U125" s="118">
        <f>T125</f>
        <v>4280.2771654676253</v>
      </c>
      <c r="V125" s="183">
        <f t="shared" si="12"/>
        <v>0</v>
      </c>
      <c r="W125" s="183"/>
      <c r="X125" s="183"/>
      <c r="Y125" s="64">
        <f t="shared" si="13"/>
        <v>4264.7454906474823</v>
      </c>
      <c r="AA125" s="64">
        <f t="shared" si="14"/>
        <v>567.62</v>
      </c>
      <c r="AC125" s="64" t="s">
        <v>1199</v>
      </c>
      <c r="AD125" s="64">
        <v>1137.3</v>
      </c>
      <c r="AH125" s="64" t="e">
        <f t="shared" si="15"/>
        <v>#N/A</v>
      </c>
      <c r="AS125" s="64" t="e">
        <f t="shared" si="16"/>
        <v>#N/A</v>
      </c>
    </row>
    <row r="126" spans="1:45" s="64" customFormat="1" ht="36" customHeight="1" x14ac:dyDescent="0.9">
      <c r="A126" s="64">
        <v>1</v>
      </c>
      <c r="B126" s="92">
        <f>SUBTOTAL(103,$A$16:A126)</f>
        <v>110</v>
      </c>
      <c r="C126" s="91" t="s">
        <v>462</v>
      </c>
      <c r="D126" s="126">
        <v>1963</v>
      </c>
      <c r="E126" s="126"/>
      <c r="F126" s="145" t="s">
        <v>273</v>
      </c>
      <c r="G126" s="126">
        <v>4</v>
      </c>
      <c r="H126" s="126">
        <v>3</v>
      </c>
      <c r="I126" s="118">
        <v>2084.9</v>
      </c>
      <c r="J126" s="118">
        <v>1940.4</v>
      </c>
      <c r="K126" s="118">
        <v>1400.4</v>
      </c>
      <c r="L126" s="127">
        <v>83</v>
      </c>
      <c r="M126" s="126" t="s">
        <v>271</v>
      </c>
      <c r="N126" s="126" t="s">
        <v>275</v>
      </c>
      <c r="O126" s="124" t="s">
        <v>354</v>
      </c>
      <c r="P126" s="118">
        <v>4857461.72</v>
      </c>
      <c r="Q126" s="118">
        <v>0</v>
      </c>
      <c r="R126" s="118">
        <v>0</v>
      </c>
      <c r="S126" s="118">
        <f t="shared" si="18"/>
        <v>4857461.72</v>
      </c>
      <c r="T126" s="118">
        <f t="shared" si="11"/>
        <v>2329.8295937455032</v>
      </c>
      <c r="U126" s="118">
        <f>T126</f>
        <v>2329.8295937455032</v>
      </c>
      <c r="V126" s="183">
        <f t="shared" si="12"/>
        <v>0</v>
      </c>
      <c r="W126" s="183"/>
      <c r="X126" s="183"/>
      <c r="Y126" s="64">
        <f t="shared" si="13"/>
        <v>2166.7627301069597</v>
      </c>
      <c r="AA126" s="64">
        <f t="shared" si="14"/>
        <v>865.12</v>
      </c>
      <c r="AC126" s="64" t="s">
        <v>1309</v>
      </c>
      <c r="AD126" s="64">
        <v>1548.79</v>
      </c>
      <c r="AH126" s="64" t="e">
        <f t="shared" si="15"/>
        <v>#N/A</v>
      </c>
      <c r="AS126" s="64" t="e">
        <f t="shared" si="16"/>
        <v>#N/A</v>
      </c>
    </row>
    <row r="127" spans="1:45" s="64" customFormat="1" ht="36" customHeight="1" x14ac:dyDescent="0.9">
      <c r="A127" s="64">
        <v>1</v>
      </c>
      <c r="B127" s="92">
        <f>SUBTOTAL(103,$A$16:A127)</f>
        <v>111</v>
      </c>
      <c r="C127" s="91" t="s">
        <v>463</v>
      </c>
      <c r="D127" s="126">
        <v>1961</v>
      </c>
      <c r="E127" s="126"/>
      <c r="F127" s="145" t="s">
        <v>273</v>
      </c>
      <c r="G127" s="126">
        <v>2</v>
      </c>
      <c r="H127" s="126">
        <v>2</v>
      </c>
      <c r="I127" s="118">
        <v>695.4</v>
      </c>
      <c r="J127" s="118">
        <v>646.20000000000005</v>
      </c>
      <c r="K127" s="118">
        <v>646.20000000000005</v>
      </c>
      <c r="L127" s="127">
        <v>42</v>
      </c>
      <c r="M127" s="126" t="s">
        <v>271</v>
      </c>
      <c r="N127" s="126" t="s">
        <v>275</v>
      </c>
      <c r="O127" s="124" t="s">
        <v>348</v>
      </c>
      <c r="P127" s="118">
        <v>2885005.74</v>
      </c>
      <c r="Q127" s="118">
        <v>0</v>
      </c>
      <c r="R127" s="118">
        <v>0</v>
      </c>
      <c r="S127" s="118">
        <f t="shared" si="18"/>
        <v>2885005.74</v>
      </c>
      <c r="T127" s="118">
        <f t="shared" si="11"/>
        <v>4148.699654874893</v>
      </c>
      <c r="U127" s="118">
        <f>Y127</f>
        <v>4181.044348576359</v>
      </c>
      <c r="V127" s="183">
        <f t="shared" si="12"/>
        <v>32.344693701465985</v>
      </c>
      <c r="W127" s="183"/>
      <c r="X127" s="183"/>
      <c r="Y127" s="64">
        <f t="shared" si="13"/>
        <v>4181.044348576359</v>
      </c>
      <c r="AA127" s="64">
        <f t="shared" si="14"/>
        <v>556.79999999999995</v>
      </c>
      <c r="AC127" s="64" t="s">
        <v>389</v>
      </c>
      <c r="AD127" s="64">
        <v>386.2</v>
      </c>
      <c r="AH127" s="64" t="e">
        <f t="shared" si="15"/>
        <v>#N/A</v>
      </c>
      <c r="AS127" s="64" t="e">
        <f t="shared" si="16"/>
        <v>#N/A</v>
      </c>
    </row>
    <row r="128" spans="1:45" s="64" customFormat="1" ht="36" customHeight="1" x14ac:dyDescent="0.9">
      <c r="A128" s="64">
        <v>1</v>
      </c>
      <c r="B128" s="92">
        <f>SUBTOTAL(103,$A$16:A128)</f>
        <v>112</v>
      </c>
      <c r="C128" s="91" t="s">
        <v>464</v>
      </c>
      <c r="D128" s="126">
        <v>1966</v>
      </c>
      <c r="E128" s="126"/>
      <c r="F128" s="145" t="s">
        <v>273</v>
      </c>
      <c r="G128" s="126">
        <v>5</v>
      </c>
      <c r="H128" s="126">
        <v>3</v>
      </c>
      <c r="I128" s="118">
        <v>2708.5</v>
      </c>
      <c r="J128" s="118">
        <v>2523.1</v>
      </c>
      <c r="K128" s="118">
        <v>2480.8000000000002</v>
      </c>
      <c r="L128" s="127">
        <v>137</v>
      </c>
      <c r="M128" s="126" t="s">
        <v>271</v>
      </c>
      <c r="N128" s="126" t="s">
        <v>349</v>
      </c>
      <c r="O128" s="124" t="s">
        <v>355</v>
      </c>
      <c r="P128" s="118">
        <v>4516946.4800000004</v>
      </c>
      <c r="Q128" s="118">
        <v>0</v>
      </c>
      <c r="R128" s="118">
        <v>0</v>
      </c>
      <c r="S128" s="118">
        <f t="shared" si="18"/>
        <v>4516946.4800000004</v>
      </c>
      <c r="T128" s="118">
        <f t="shared" si="11"/>
        <v>1667.6929961233157</v>
      </c>
      <c r="U128" s="118">
        <f>T128</f>
        <v>1667.6929961233157</v>
      </c>
      <c r="V128" s="183">
        <f t="shared" si="12"/>
        <v>0</v>
      </c>
      <c r="W128" s="183"/>
      <c r="X128" s="183"/>
      <c r="Y128" s="64">
        <f t="shared" si="13"/>
        <v>1659.7747232785675</v>
      </c>
      <c r="AA128" s="64">
        <f t="shared" si="14"/>
        <v>860.91</v>
      </c>
      <c r="AC128" s="64" t="s">
        <v>645</v>
      </c>
      <c r="AD128" s="64">
        <v>486.27</v>
      </c>
      <c r="AH128" s="64" t="e">
        <f t="shared" si="15"/>
        <v>#N/A</v>
      </c>
      <c r="AS128" s="64" t="e">
        <f t="shared" si="16"/>
        <v>#N/A</v>
      </c>
    </row>
    <row r="129" spans="1:45" s="64" customFormat="1" ht="36" customHeight="1" x14ac:dyDescent="0.9">
      <c r="A129" s="64">
        <v>1</v>
      </c>
      <c r="B129" s="92">
        <f>SUBTOTAL(103,$A$16:A129)</f>
        <v>113</v>
      </c>
      <c r="C129" s="91" t="s">
        <v>465</v>
      </c>
      <c r="D129" s="126">
        <v>1968</v>
      </c>
      <c r="E129" s="126">
        <v>2010</v>
      </c>
      <c r="F129" s="145" t="s">
        <v>338</v>
      </c>
      <c r="G129" s="126">
        <v>2</v>
      </c>
      <c r="H129" s="126">
        <v>2</v>
      </c>
      <c r="I129" s="118">
        <v>522</v>
      </c>
      <c r="J129" s="118">
        <v>471.1</v>
      </c>
      <c r="K129" s="118">
        <v>341.6</v>
      </c>
      <c r="L129" s="127">
        <v>22</v>
      </c>
      <c r="M129" s="126" t="s">
        <v>271</v>
      </c>
      <c r="N129" s="126" t="s">
        <v>272</v>
      </c>
      <c r="O129" s="124" t="s">
        <v>274</v>
      </c>
      <c r="P129" s="118">
        <v>2488287.8899999997</v>
      </c>
      <c r="Q129" s="118">
        <v>0</v>
      </c>
      <c r="R129" s="118">
        <v>0</v>
      </c>
      <c r="S129" s="118">
        <f t="shared" si="18"/>
        <v>2488287.8899999997</v>
      </c>
      <c r="T129" s="118">
        <f t="shared" ref="T129:T190" si="19">P129/I129</f>
        <v>4766.835038314176</v>
      </c>
      <c r="U129" s="118">
        <f>AG129</f>
        <v>6242.4941625981746</v>
      </c>
      <c r="V129" s="183">
        <f t="shared" si="12"/>
        <v>1475.6591242839986</v>
      </c>
      <c r="W129" s="183"/>
      <c r="X129" s="183"/>
      <c r="Y129" s="64" t="e">
        <f t="shared" si="13"/>
        <v>#N/A</v>
      </c>
      <c r="AA129" s="64" t="e">
        <f t="shared" si="14"/>
        <v>#N/A</v>
      </c>
      <c r="AC129" s="64" t="s">
        <v>648</v>
      </c>
      <c r="AD129" s="64">
        <v>586.70000000000005</v>
      </c>
      <c r="AG129" s="64">
        <f>AH129*6191.24/J129</f>
        <v>6242.4941625981746</v>
      </c>
      <c r="AH129" s="64">
        <f t="shared" si="15"/>
        <v>475</v>
      </c>
      <c r="AS129" s="64" t="e">
        <f t="shared" si="16"/>
        <v>#N/A</v>
      </c>
    </row>
    <row r="130" spans="1:45" s="64" customFormat="1" ht="36" customHeight="1" x14ac:dyDescent="0.9">
      <c r="A130" s="64">
        <v>1</v>
      </c>
      <c r="B130" s="92">
        <f>SUBTOTAL(103,$A$16:A130)</f>
        <v>114</v>
      </c>
      <c r="C130" s="91" t="s">
        <v>1165</v>
      </c>
      <c r="D130" s="126">
        <v>1975</v>
      </c>
      <c r="E130" s="126">
        <v>2008</v>
      </c>
      <c r="F130" s="145" t="s">
        <v>319</v>
      </c>
      <c r="G130" s="126">
        <v>5</v>
      </c>
      <c r="H130" s="126">
        <v>6</v>
      </c>
      <c r="I130" s="118">
        <v>5015.3</v>
      </c>
      <c r="J130" s="118">
        <v>4555.7</v>
      </c>
      <c r="K130" s="118">
        <v>4267.7</v>
      </c>
      <c r="L130" s="127">
        <v>201</v>
      </c>
      <c r="M130" s="126" t="s">
        <v>271</v>
      </c>
      <c r="N130" s="126" t="s">
        <v>275</v>
      </c>
      <c r="O130" s="124" t="s">
        <v>1332</v>
      </c>
      <c r="P130" s="118">
        <v>3344006.3800000004</v>
      </c>
      <c r="Q130" s="118">
        <v>0</v>
      </c>
      <c r="R130" s="118">
        <v>0</v>
      </c>
      <c r="S130" s="118">
        <f t="shared" si="18"/>
        <v>3344006.3800000004</v>
      </c>
      <c r="T130" s="118">
        <f t="shared" si="19"/>
        <v>666.76098737862151</v>
      </c>
      <c r="U130" s="118">
        <v>3426.9700000000003</v>
      </c>
      <c r="V130" s="183">
        <f t="shared" si="12"/>
        <v>2760.2090126213789</v>
      </c>
      <c r="W130" s="183"/>
      <c r="X130" s="183"/>
      <c r="Y130" s="64" t="e">
        <f t="shared" si="13"/>
        <v>#N/A</v>
      </c>
      <c r="AA130" s="64" t="e">
        <f t="shared" si="14"/>
        <v>#N/A</v>
      </c>
      <c r="AC130" s="64" t="s">
        <v>649</v>
      </c>
      <c r="AD130" s="64">
        <v>384.56</v>
      </c>
      <c r="AH130" s="64" t="e">
        <f t="shared" si="15"/>
        <v>#N/A</v>
      </c>
      <c r="AS130" s="64" t="e">
        <f t="shared" si="16"/>
        <v>#N/A</v>
      </c>
    </row>
    <row r="131" spans="1:45" s="64" customFormat="1" ht="36" customHeight="1" x14ac:dyDescent="0.9">
      <c r="A131" s="64">
        <v>1</v>
      </c>
      <c r="B131" s="92">
        <f>SUBTOTAL(103,$A$16:A131)</f>
        <v>115</v>
      </c>
      <c r="C131" s="91" t="s">
        <v>1166</v>
      </c>
      <c r="D131" s="126">
        <v>1933</v>
      </c>
      <c r="E131" s="126">
        <v>2008</v>
      </c>
      <c r="F131" s="145" t="s">
        <v>273</v>
      </c>
      <c r="G131" s="126">
        <v>3</v>
      </c>
      <c r="H131" s="126">
        <v>4</v>
      </c>
      <c r="I131" s="118">
        <v>1863.4</v>
      </c>
      <c r="J131" s="118">
        <v>1677.4</v>
      </c>
      <c r="K131" s="118">
        <v>1604.4</v>
      </c>
      <c r="L131" s="127">
        <v>86</v>
      </c>
      <c r="M131" s="126" t="s">
        <v>271</v>
      </c>
      <c r="N131" s="126" t="s">
        <v>275</v>
      </c>
      <c r="O131" s="124" t="s">
        <v>354</v>
      </c>
      <c r="P131" s="118">
        <v>3020889.5500000003</v>
      </c>
      <c r="Q131" s="118">
        <v>0</v>
      </c>
      <c r="R131" s="118">
        <v>0</v>
      </c>
      <c r="S131" s="118">
        <f t="shared" si="18"/>
        <v>3020889.5500000003</v>
      </c>
      <c r="T131" s="118">
        <f t="shared" si="19"/>
        <v>1621.1707362885049</v>
      </c>
      <c r="U131" s="118">
        <v>3426.9700000000003</v>
      </c>
      <c r="V131" s="183">
        <f t="shared" si="12"/>
        <v>1805.7992637114953</v>
      </c>
      <c r="W131" s="183"/>
      <c r="X131" s="183"/>
      <c r="Y131" s="64" t="e">
        <f t="shared" si="13"/>
        <v>#N/A</v>
      </c>
      <c r="AA131" s="64" t="e">
        <f t="shared" si="14"/>
        <v>#N/A</v>
      </c>
      <c r="AC131" s="64" t="s">
        <v>652</v>
      </c>
      <c r="AD131" s="64">
        <v>240</v>
      </c>
      <c r="AH131" s="64" t="e">
        <f t="shared" si="15"/>
        <v>#N/A</v>
      </c>
      <c r="AS131" s="64" t="e">
        <f t="shared" si="16"/>
        <v>#N/A</v>
      </c>
    </row>
    <row r="132" spans="1:45" s="64" customFormat="1" ht="36" customHeight="1" x14ac:dyDescent="0.9">
      <c r="A132" s="64">
        <v>1</v>
      </c>
      <c r="B132" s="92">
        <f>SUBTOTAL(103,$A$16:A132)</f>
        <v>116</v>
      </c>
      <c r="C132" s="91" t="s">
        <v>1167</v>
      </c>
      <c r="D132" s="126">
        <v>1928</v>
      </c>
      <c r="E132" s="126">
        <v>2008</v>
      </c>
      <c r="F132" s="145" t="s">
        <v>273</v>
      </c>
      <c r="G132" s="126">
        <v>2</v>
      </c>
      <c r="H132" s="126">
        <v>2</v>
      </c>
      <c r="I132" s="118">
        <v>498.3</v>
      </c>
      <c r="J132" s="118">
        <v>446.6</v>
      </c>
      <c r="K132" s="118">
        <v>412.2</v>
      </c>
      <c r="L132" s="127">
        <v>28</v>
      </c>
      <c r="M132" s="126" t="s">
        <v>271</v>
      </c>
      <c r="N132" s="126" t="s">
        <v>272</v>
      </c>
      <c r="O132" s="124" t="s">
        <v>274</v>
      </c>
      <c r="P132" s="118">
        <v>1666784.6600000001</v>
      </c>
      <c r="Q132" s="118">
        <v>0</v>
      </c>
      <c r="R132" s="118">
        <v>0</v>
      </c>
      <c r="S132" s="118">
        <f t="shared" si="18"/>
        <v>1666784.6600000001</v>
      </c>
      <c r="T132" s="118">
        <f t="shared" si="19"/>
        <v>3344.9421232189447</v>
      </c>
      <c r="U132" s="118">
        <f>AG132</f>
        <v>10284.1681182266</v>
      </c>
      <c r="V132" s="183">
        <f t="shared" si="12"/>
        <v>6939.225995007655</v>
      </c>
      <c r="W132" s="183"/>
      <c r="X132" s="183"/>
      <c r="Y132" s="64" t="e">
        <f t="shared" si="13"/>
        <v>#N/A</v>
      </c>
      <c r="AA132" s="64" t="e">
        <f t="shared" si="14"/>
        <v>#N/A</v>
      </c>
      <c r="AC132" s="64" t="s">
        <v>656</v>
      </c>
      <c r="AD132" s="64">
        <v>563.1</v>
      </c>
      <c r="AG132" s="64">
        <f>AH132*6191.24/J132</f>
        <v>10284.1681182266</v>
      </c>
      <c r="AH132" s="64">
        <f t="shared" si="15"/>
        <v>741.84</v>
      </c>
      <c r="AS132" s="64" t="e">
        <f t="shared" si="16"/>
        <v>#N/A</v>
      </c>
    </row>
    <row r="133" spans="1:45" s="64" customFormat="1" ht="36" customHeight="1" x14ac:dyDescent="0.9">
      <c r="A133" s="64">
        <v>1</v>
      </c>
      <c r="B133" s="92">
        <f>SUBTOTAL(103,$A$16:A133)</f>
        <v>117</v>
      </c>
      <c r="C133" s="91" t="s">
        <v>1168</v>
      </c>
      <c r="D133" s="126" t="s">
        <v>1358</v>
      </c>
      <c r="E133" s="126"/>
      <c r="F133" s="145" t="s">
        <v>273</v>
      </c>
      <c r="G133" s="126" t="s">
        <v>311</v>
      </c>
      <c r="H133" s="126" t="s">
        <v>311</v>
      </c>
      <c r="I133" s="118">
        <v>823.9</v>
      </c>
      <c r="J133" s="118">
        <v>758.2</v>
      </c>
      <c r="K133" s="118">
        <v>682.4</v>
      </c>
      <c r="L133" s="127">
        <v>35</v>
      </c>
      <c r="M133" s="126" t="s">
        <v>271</v>
      </c>
      <c r="N133" s="126" t="s">
        <v>275</v>
      </c>
      <c r="O133" s="124" t="s">
        <v>354</v>
      </c>
      <c r="P133" s="118">
        <v>2074334.5899999999</v>
      </c>
      <c r="Q133" s="118">
        <v>0</v>
      </c>
      <c r="R133" s="118">
        <v>0</v>
      </c>
      <c r="S133" s="118">
        <f t="shared" si="18"/>
        <v>2074334.5899999999</v>
      </c>
      <c r="T133" s="118">
        <f t="shared" si="19"/>
        <v>2517.7018934336688</v>
      </c>
      <c r="U133" s="118">
        <f>AG133</f>
        <v>7390.7825428646793</v>
      </c>
      <c r="V133" s="183">
        <f t="shared" si="12"/>
        <v>4873.0806494310109</v>
      </c>
      <c r="W133" s="183"/>
      <c r="X133" s="183"/>
      <c r="Y133" s="64" t="e">
        <f t="shared" si="13"/>
        <v>#N/A</v>
      </c>
      <c r="AA133" s="64" t="e">
        <f t="shared" si="14"/>
        <v>#N/A</v>
      </c>
      <c r="AC133" s="64" t="s">
        <v>1121</v>
      </c>
      <c r="AD133" s="64">
        <v>900</v>
      </c>
      <c r="AG133" s="64">
        <f>AH133*6191.24/J133</f>
        <v>7390.7825428646793</v>
      </c>
      <c r="AH133" s="64">
        <f t="shared" si="15"/>
        <v>905.1</v>
      </c>
      <c r="AS133" s="64" t="e">
        <f t="shared" si="16"/>
        <v>#N/A</v>
      </c>
    </row>
    <row r="134" spans="1:45" s="64" customFormat="1" ht="36" customHeight="1" x14ac:dyDescent="0.9">
      <c r="A134" s="64">
        <v>1</v>
      </c>
      <c r="B134" s="92">
        <f>SUBTOTAL(103,$A$16:A134)</f>
        <v>118</v>
      </c>
      <c r="C134" s="91" t="s">
        <v>1169</v>
      </c>
      <c r="D134" s="126">
        <v>1956</v>
      </c>
      <c r="E134" s="126"/>
      <c r="F134" s="145" t="s">
        <v>273</v>
      </c>
      <c r="G134" s="126">
        <v>2</v>
      </c>
      <c r="H134" s="126" t="s">
        <v>312</v>
      </c>
      <c r="I134" s="118">
        <v>462.2</v>
      </c>
      <c r="J134" s="118">
        <v>420.8</v>
      </c>
      <c r="K134" s="118">
        <v>371.7</v>
      </c>
      <c r="L134" s="127">
        <v>21</v>
      </c>
      <c r="M134" s="126" t="s">
        <v>271</v>
      </c>
      <c r="N134" s="126" t="s">
        <v>272</v>
      </c>
      <c r="O134" s="124" t="s">
        <v>274</v>
      </c>
      <c r="P134" s="118">
        <v>154761.32999999999</v>
      </c>
      <c r="Q134" s="118">
        <v>0</v>
      </c>
      <c r="R134" s="118">
        <v>0</v>
      </c>
      <c r="S134" s="118">
        <f t="shared" si="18"/>
        <v>154761.32999999999</v>
      </c>
      <c r="T134" s="118">
        <f t="shared" si="19"/>
        <v>334.8362829943747</v>
      </c>
      <c r="U134" s="118">
        <f>T134</f>
        <v>334.8362829943747</v>
      </c>
      <c r="V134" s="183">
        <f t="shared" si="12"/>
        <v>0</v>
      </c>
      <c r="W134" s="183"/>
      <c r="X134" s="183"/>
      <c r="Y134" s="64" t="e">
        <f t="shared" si="13"/>
        <v>#N/A</v>
      </c>
      <c r="AA134" s="64" t="e">
        <f t="shared" si="14"/>
        <v>#N/A</v>
      </c>
      <c r="AC134" s="64" t="s">
        <v>1207</v>
      </c>
      <c r="AD134" s="64">
        <v>540.5</v>
      </c>
      <c r="AH134" s="64" t="e">
        <f t="shared" si="15"/>
        <v>#N/A</v>
      </c>
      <c r="AS134" s="64" t="e">
        <f t="shared" si="16"/>
        <v>#N/A</v>
      </c>
    </row>
    <row r="135" spans="1:45" s="64" customFormat="1" ht="36" customHeight="1" x14ac:dyDescent="0.9">
      <c r="A135" s="64">
        <v>1</v>
      </c>
      <c r="B135" s="92">
        <f>SUBTOTAL(103,$A$16:A135)</f>
        <v>119</v>
      </c>
      <c r="C135" s="91" t="s">
        <v>1170</v>
      </c>
      <c r="D135" s="126">
        <v>1949</v>
      </c>
      <c r="E135" s="126">
        <v>2008</v>
      </c>
      <c r="F135" s="145" t="s">
        <v>273</v>
      </c>
      <c r="G135" s="126" t="s">
        <v>311</v>
      </c>
      <c r="H135" s="126" t="s">
        <v>312</v>
      </c>
      <c r="I135" s="118">
        <v>490.9</v>
      </c>
      <c r="J135" s="118">
        <v>446.3</v>
      </c>
      <c r="K135" s="118">
        <v>327.2</v>
      </c>
      <c r="L135" s="127">
        <v>28</v>
      </c>
      <c r="M135" s="126" t="s">
        <v>271</v>
      </c>
      <c r="N135" s="126" t="s">
        <v>272</v>
      </c>
      <c r="O135" s="124" t="s">
        <v>274</v>
      </c>
      <c r="P135" s="118">
        <v>1358011.7</v>
      </c>
      <c r="Q135" s="118">
        <v>0</v>
      </c>
      <c r="R135" s="118">
        <v>0</v>
      </c>
      <c r="S135" s="118">
        <f t="shared" si="18"/>
        <v>1358011.7</v>
      </c>
      <c r="T135" s="118">
        <f t="shared" si="19"/>
        <v>2766.3713587288653</v>
      </c>
      <c r="U135" s="118">
        <f>AG135</f>
        <v>6797.4626932556575</v>
      </c>
      <c r="V135" s="183">
        <f t="shared" si="12"/>
        <v>4031.0913345267923</v>
      </c>
      <c r="W135" s="183"/>
      <c r="X135" s="183"/>
      <c r="Y135" s="64" t="e">
        <f t="shared" si="13"/>
        <v>#N/A</v>
      </c>
      <c r="AA135" s="64" t="e">
        <f t="shared" si="14"/>
        <v>#N/A</v>
      </c>
      <c r="AC135" s="64" t="s">
        <v>1208</v>
      </c>
      <c r="AD135" s="64">
        <v>603.5</v>
      </c>
      <c r="AG135" s="64">
        <f>AH135*6191.24/J135</f>
        <v>6797.4626932556575</v>
      </c>
      <c r="AH135" s="64">
        <f t="shared" si="15"/>
        <v>490</v>
      </c>
      <c r="AS135" s="64" t="e">
        <f t="shared" si="16"/>
        <v>#N/A</v>
      </c>
    </row>
    <row r="136" spans="1:45" s="64" customFormat="1" ht="36" customHeight="1" x14ac:dyDescent="0.9">
      <c r="A136" s="64">
        <v>1</v>
      </c>
      <c r="B136" s="92">
        <f>SUBTOTAL(103,$A$16:A136)</f>
        <v>120</v>
      </c>
      <c r="C136" s="91" t="s">
        <v>1171</v>
      </c>
      <c r="D136" s="126">
        <v>1964</v>
      </c>
      <c r="E136" s="126"/>
      <c r="F136" s="145" t="s">
        <v>273</v>
      </c>
      <c r="G136" s="126">
        <v>2</v>
      </c>
      <c r="H136" s="126">
        <v>1</v>
      </c>
      <c r="I136" s="118">
        <v>405.1</v>
      </c>
      <c r="J136" s="118">
        <v>380.8</v>
      </c>
      <c r="K136" s="118">
        <v>380.8</v>
      </c>
      <c r="L136" s="127">
        <v>13</v>
      </c>
      <c r="M136" s="126" t="s">
        <v>271</v>
      </c>
      <c r="N136" s="126" t="s">
        <v>272</v>
      </c>
      <c r="O136" s="124" t="s">
        <v>274</v>
      </c>
      <c r="P136" s="118">
        <v>741685.94</v>
      </c>
      <c r="Q136" s="118">
        <v>0</v>
      </c>
      <c r="R136" s="118">
        <v>0</v>
      </c>
      <c r="S136" s="118">
        <f t="shared" si="18"/>
        <v>741685.94</v>
      </c>
      <c r="T136" s="118">
        <f t="shared" si="19"/>
        <v>1830.8712416687235</v>
      </c>
      <c r="U136" s="118">
        <v>3697.55</v>
      </c>
      <c r="V136" s="183">
        <f t="shared" si="12"/>
        <v>1866.6787583312766</v>
      </c>
      <c r="W136" s="183"/>
      <c r="X136" s="183"/>
      <c r="Y136" s="64" t="e">
        <f t="shared" si="13"/>
        <v>#N/A</v>
      </c>
      <c r="AA136" s="64" t="e">
        <f t="shared" si="14"/>
        <v>#N/A</v>
      </c>
      <c r="AC136" s="64" t="s">
        <v>1209</v>
      </c>
      <c r="AD136" s="64">
        <v>1650</v>
      </c>
      <c r="AH136" s="64" t="e">
        <f t="shared" si="15"/>
        <v>#N/A</v>
      </c>
      <c r="AS136" s="64" t="e">
        <f t="shared" si="16"/>
        <v>#N/A</v>
      </c>
    </row>
    <row r="137" spans="1:45" s="64" customFormat="1" ht="36" customHeight="1" x14ac:dyDescent="0.9">
      <c r="A137" s="64">
        <v>1</v>
      </c>
      <c r="B137" s="92">
        <f>SUBTOTAL(103,$A$16:A137)</f>
        <v>121</v>
      </c>
      <c r="C137" s="91" t="s">
        <v>1172</v>
      </c>
      <c r="D137" s="126">
        <v>1956</v>
      </c>
      <c r="E137" s="126"/>
      <c r="F137" s="145" t="s">
        <v>332</v>
      </c>
      <c r="G137" s="126">
        <v>2</v>
      </c>
      <c r="H137" s="126">
        <v>2</v>
      </c>
      <c r="I137" s="118">
        <v>752.8</v>
      </c>
      <c r="J137" s="118">
        <v>577.9</v>
      </c>
      <c r="K137" s="118">
        <v>454.1</v>
      </c>
      <c r="L137" s="127">
        <v>17</v>
      </c>
      <c r="M137" s="126" t="s">
        <v>271</v>
      </c>
      <c r="N137" s="126" t="s">
        <v>272</v>
      </c>
      <c r="O137" s="124" t="s">
        <v>274</v>
      </c>
      <c r="P137" s="118">
        <v>2205149.9699999997</v>
      </c>
      <c r="Q137" s="118">
        <v>0</v>
      </c>
      <c r="R137" s="118">
        <v>0</v>
      </c>
      <c r="S137" s="118">
        <f t="shared" si="18"/>
        <v>2205149.9699999997</v>
      </c>
      <c r="T137" s="118">
        <f t="shared" si="19"/>
        <v>2929.2640409139212</v>
      </c>
      <c r="U137" s="118">
        <f>AG137</f>
        <v>9306.8939484339844</v>
      </c>
      <c r="V137" s="183">
        <f t="shared" si="12"/>
        <v>6377.6299075200632</v>
      </c>
      <c r="W137" s="183"/>
      <c r="X137" s="183"/>
      <c r="Y137" s="64" t="e">
        <f t="shared" si="13"/>
        <v>#N/A</v>
      </c>
      <c r="AA137" s="64" t="e">
        <f t="shared" si="14"/>
        <v>#N/A</v>
      </c>
      <c r="AC137" s="64" t="s">
        <v>1211</v>
      </c>
      <c r="AD137" s="64">
        <v>1906.5</v>
      </c>
      <c r="AG137" s="64">
        <f>AH137*6191.24/J137</f>
        <v>9306.8939484339844</v>
      </c>
      <c r="AH137" s="64">
        <f t="shared" si="15"/>
        <v>868.72</v>
      </c>
      <c r="AS137" s="64" t="e">
        <f t="shared" si="16"/>
        <v>#N/A</v>
      </c>
    </row>
    <row r="138" spans="1:45" s="64" customFormat="1" ht="36" customHeight="1" x14ac:dyDescent="0.9">
      <c r="A138" s="64">
        <v>1</v>
      </c>
      <c r="B138" s="92">
        <f>SUBTOTAL(103,$A$16:A138)</f>
        <v>122</v>
      </c>
      <c r="C138" s="91" t="s">
        <v>1173</v>
      </c>
      <c r="D138" s="126">
        <v>1961</v>
      </c>
      <c r="E138" s="126"/>
      <c r="F138" s="145" t="s">
        <v>273</v>
      </c>
      <c r="G138" s="126">
        <v>2</v>
      </c>
      <c r="H138" s="126">
        <v>2</v>
      </c>
      <c r="I138" s="118">
        <v>588.1</v>
      </c>
      <c r="J138" s="118">
        <v>546.70000000000005</v>
      </c>
      <c r="K138" s="118">
        <v>401.1</v>
      </c>
      <c r="L138" s="127">
        <v>45</v>
      </c>
      <c r="M138" s="126" t="s">
        <v>271</v>
      </c>
      <c r="N138" s="126" t="s">
        <v>272</v>
      </c>
      <c r="O138" s="124" t="s">
        <v>274</v>
      </c>
      <c r="P138" s="118">
        <v>1409669.3</v>
      </c>
      <c r="Q138" s="118">
        <v>0</v>
      </c>
      <c r="R138" s="118">
        <v>0</v>
      </c>
      <c r="S138" s="118">
        <f t="shared" si="18"/>
        <v>1409669.3</v>
      </c>
      <c r="T138" s="118">
        <f t="shared" si="19"/>
        <v>2396.9891174970244</v>
      </c>
      <c r="U138" s="118">
        <f>AG138</f>
        <v>6490.4398551307841</v>
      </c>
      <c r="V138" s="183">
        <f t="shared" si="12"/>
        <v>4093.4507376337597</v>
      </c>
      <c r="W138" s="183"/>
      <c r="X138" s="183"/>
      <c r="Y138" s="64" t="e">
        <f t="shared" si="13"/>
        <v>#N/A</v>
      </c>
      <c r="AA138" s="64" t="e">
        <f t="shared" si="14"/>
        <v>#N/A</v>
      </c>
      <c r="AC138" s="64" t="s">
        <v>1216</v>
      </c>
      <c r="AD138" s="64">
        <v>1264.96</v>
      </c>
      <c r="AG138" s="64">
        <f>AH138*6191.24/J138</f>
        <v>6490.4398551307841</v>
      </c>
      <c r="AH138" s="64">
        <f t="shared" si="15"/>
        <v>573.12</v>
      </c>
      <c r="AS138" s="64" t="e">
        <f t="shared" si="16"/>
        <v>#N/A</v>
      </c>
    </row>
    <row r="139" spans="1:45" s="64" customFormat="1" ht="36" customHeight="1" x14ac:dyDescent="0.9">
      <c r="A139" s="64">
        <v>1</v>
      </c>
      <c r="B139" s="92">
        <f>SUBTOTAL(103,$A$16:A139)</f>
        <v>123</v>
      </c>
      <c r="C139" s="91" t="s">
        <v>1174</v>
      </c>
      <c r="D139" s="126">
        <v>1955</v>
      </c>
      <c r="E139" s="126"/>
      <c r="F139" s="145" t="s">
        <v>273</v>
      </c>
      <c r="G139" s="126">
        <v>2</v>
      </c>
      <c r="H139" s="126">
        <v>1</v>
      </c>
      <c r="I139" s="118">
        <v>421.3</v>
      </c>
      <c r="J139" s="118">
        <v>388.3</v>
      </c>
      <c r="K139" s="118">
        <v>388.3</v>
      </c>
      <c r="L139" s="127">
        <v>21</v>
      </c>
      <c r="M139" s="126" t="s">
        <v>271</v>
      </c>
      <c r="N139" s="126" t="s">
        <v>272</v>
      </c>
      <c r="O139" s="124" t="s">
        <v>274</v>
      </c>
      <c r="P139" s="118">
        <v>1971369.43</v>
      </c>
      <c r="Q139" s="118">
        <v>0</v>
      </c>
      <c r="R139" s="118">
        <v>0</v>
      </c>
      <c r="S139" s="118">
        <f t="shared" si="18"/>
        <v>1971369.43</v>
      </c>
      <c r="T139" s="118">
        <f t="shared" si="19"/>
        <v>4679.2533349157366</v>
      </c>
      <c r="U139" s="118">
        <f>AG139</f>
        <v>6329.9569405099146</v>
      </c>
      <c r="V139" s="183">
        <f t="shared" si="12"/>
        <v>1650.703605594178</v>
      </c>
      <c r="W139" s="183"/>
      <c r="X139" s="183"/>
      <c r="Y139" s="64" t="e">
        <f t="shared" si="13"/>
        <v>#N/A</v>
      </c>
      <c r="AA139" s="64" t="e">
        <f t="shared" si="14"/>
        <v>#N/A</v>
      </c>
      <c r="AC139" s="64" t="s">
        <v>1218</v>
      </c>
      <c r="AD139" s="64">
        <v>781</v>
      </c>
      <c r="AG139" s="64">
        <f>AH139*6191.24/J139</f>
        <v>6329.9569405099146</v>
      </c>
      <c r="AH139" s="64">
        <f t="shared" si="15"/>
        <v>397</v>
      </c>
      <c r="AS139" s="64" t="e">
        <f t="shared" si="16"/>
        <v>#N/A</v>
      </c>
    </row>
    <row r="140" spans="1:45" s="64" customFormat="1" ht="36" customHeight="1" x14ac:dyDescent="0.9">
      <c r="A140" s="64">
        <v>1</v>
      </c>
      <c r="B140" s="92">
        <f>SUBTOTAL(103,$A$16:A140)</f>
        <v>124</v>
      </c>
      <c r="C140" s="91" t="s">
        <v>1175</v>
      </c>
      <c r="D140" s="126">
        <v>1993</v>
      </c>
      <c r="E140" s="126">
        <v>2016</v>
      </c>
      <c r="F140" s="145" t="s">
        <v>293</v>
      </c>
      <c r="G140" s="126">
        <v>9</v>
      </c>
      <c r="H140" s="126">
        <v>4</v>
      </c>
      <c r="I140" s="118">
        <v>9105.2999999999993</v>
      </c>
      <c r="J140" s="118">
        <v>7487.4</v>
      </c>
      <c r="K140" s="118">
        <v>7487.4</v>
      </c>
      <c r="L140" s="127">
        <v>293</v>
      </c>
      <c r="M140" s="126" t="s">
        <v>271</v>
      </c>
      <c r="N140" s="126" t="s">
        <v>349</v>
      </c>
      <c r="O140" s="124" t="s">
        <v>1359</v>
      </c>
      <c r="P140" s="118">
        <v>5593558.4000000004</v>
      </c>
      <c r="Q140" s="118">
        <v>0</v>
      </c>
      <c r="R140" s="118">
        <v>0</v>
      </c>
      <c r="S140" s="118">
        <f t="shared" si="18"/>
        <v>5593558.4000000004</v>
      </c>
      <c r="T140" s="118">
        <f t="shared" si="19"/>
        <v>614.31895709092521</v>
      </c>
      <c r="U140" s="118">
        <f>AR140</f>
        <v>969.72664272456711</v>
      </c>
      <c r="V140" s="183">
        <f t="shared" si="12"/>
        <v>355.4076856336419</v>
      </c>
      <c r="W140" s="183"/>
      <c r="X140" s="183"/>
      <c r="Y140" s="64" t="e">
        <f t="shared" si="13"/>
        <v>#N/A</v>
      </c>
      <c r="AA140" s="64" t="e">
        <f t="shared" si="14"/>
        <v>#N/A</v>
      </c>
      <c r="AC140" s="64" t="s">
        <v>1219</v>
      </c>
      <c r="AD140" s="64">
        <v>2073.9</v>
      </c>
      <c r="AH140" s="64" t="e">
        <f t="shared" si="15"/>
        <v>#N/A</v>
      </c>
      <c r="AR140" s="64">
        <f>AS140*2207413/I140</f>
        <v>969.72664272456711</v>
      </c>
      <c r="AS140" s="64">
        <f t="shared" si="16"/>
        <v>4</v>
      </c>
    </row>
    <row r="141" spans="1:45" s="64" customFormat="1" ht="36" customHeight="1" x14ac:dyDescent="0.9">
      <c r="A141" s="64">
        <v>1</v>
      </c>
      <c r="B141" s="92">
        <f>SUBTOTAL(103,$A$16:A141)</f>
        <v>125</v>
      </c>
      <c r="C141" s="91" t="s">
        <v>1176</v>
      </c>
      <c r="D141" s="126">
        <v>1977</v>
      </c>
      <c r="E141" s="126">
        <v>2014</v>
      </c>
      <c r="F141" s="145" t="s">
        <v>273</v>
      </c>
      <c r="G141" s="126">
        <v>5</v>
      </c>
      <c r="H141" s="126">
        <v>4</v>
      </c>
      <c r="I141" s="118">
        <v>3912.3</v>
      </c>
      <c r="J141" s="118">
        <v>3639.1</v>
      </c>
      <c r="K141" s="118">
        <v>2451.4</v>
      </c>
      <c r="L141" s="127">
        <v>85</v>
      </c>
      <c r="M141" s="126" t="s">
        <v>271</v>
      </c>
      <c r="N141" s="126" t="s">
        <v>275</v>
      </c>
      <c r="O141" s="124" t="s">
        <v>1332</v>
      </c>
      <c r="P141" s="118">
        <v>3010382.16</v>
      </c>
      <c r="Q141" s="118">
        <v>0</v>
      </c>
      <c r="R141" s="118">
        <v>0</v>
      </c>
      <c r="S141" s="118">
        <f t="shared" si="18"/>
        <v>3010382.16</v>
      </c>
      <c r="T141" s="118">
        <f t="shared" si="19"/>
        <v>769.46608388927234</v>
      </c>
      <c r="U141" s="118">
        <v>3697.55</v>
      </c>
      <c r="V141" s="183">
        <f t="shared" si="12"/>
        <v>2928.0839161107278</v>
      </c>
      <c r="W141" s="183"/>
      <c r="X141" s="183"/>
      <c r="Y141" s="64" t="e">
        <f t="shared" si="13"/>
        <v>#N/A</v>
      </c>
      <c r="AA141" s="64" t="e">
        <f t="shared" si="14"/>
        <v>#N/A</v>
      </c>
      <c r="AC141" s="64" t="s">
        <v>1221</v>
      </c>
      <c r="AD141" s="64">
        <v>1174.18</v>
      </c>
      <c r="AH141" s="64" t="e">
        <f t="shared" si="15"/>
        <v>#N/A</v>
      </c>
      <c r="AS141" s="64" t="e">
        <f t="shared" si="16"/>
        <v>#N/A</v>
      </c>
    </row>
    <row r="142" spans="1:45" s="64" customFormat="1" ht="36" customHeight="1" x14ac:dyDescent="0.9">
      <c r="A142" s="64">
        <v>1</v>
      </c>
      <c r="B142" s="92">
        <f>SUBTOTAL(103,$A$16:A142)</f>
        <v>126</v>
      </c>
      <c r="C142" s="91" t="s">
        <v>1177</v>
      </c>
      <c r="D142" s="126">
        <v>1976</v>
      </c>
      <c r="E142" s="126"/>
      <c r="F142" s="145" t="s">
        <v>273</v>
      </c>
      <c r="G142" s="126">
        <v>5</v>
      </c>
      <c r="H142" s="126">
        <v>4</v>
      </c>
      <c r="I142" s="118">
        <v>3635.4</v>
      </c>
      <c r="J142" s="118">
        <v>3360.2</v>
      </c>
      <c r="K142" s="118">
        <v>2816.2</v>
      </c>
      <c r="L142" s="127">
        <v>167</v>
      </c>
      <c r="M142" s="126" t="s">
        <v>271</v>
      </c>
      <c r="N142" s="126" t="s">
        <v>275</v>
      </c>
      <c r="O142" s="124" t="s">
        <v>1360</v>
      </c>
      <c r="P142" s="118">
        <v>2901759.67</v>
      </c>
      <c r="Q142" s="118">
        <v>0</v>
      </c>
      <c r="R142" s="118">
        <v>0</v>
      </c>
      <c r="S142" s="118">
        <f t="shared" si="18"/>
        <v>2901759.67</v>
      </c>
      <c r="T142" s="118">
        <f t="shared" si="19"/>
        <v>798.19543103922535</v>
      </c>
      <c r="U142" s="118">
        <v>3929.63</v>
      </c>
      <c r="V142" s="183">
        <f t="shared" si="12"/>
        <v>3131.4345689607749</v>
      </c>
      <c r="W142" s="183"/>
      <c r="X142" s="183"/>
      <c r="Y142" s="64" t="e">
        <f t="shared" si="13"/>
        <v>#N/A</v>
      </c>
      <c r="AA142" s="64" t="e">
        <f t="shared" si="14"/>
        <v>#N/A</v>
      </c>
      <c r="AC142" s="64" t="s">
        <v>1222</v>
      </c>
      <c r="AD142" s="64">
        <v>484</v>
      </c>
      <c r="AH142" s="64" t="e">
        <f t="shared" si="15"/>
        <v>#N/A</v>
      </c>
      <c r="AS142" s="64" t="e">
        <f t="shared" si="16"/>
        <v>#N/A</v>
      </c>
    </row>
    <row r="143" spans="1:45" s="64" customFormat="1" ht="36" customHeight="1" x14ac:dyDescent="0.9">
      <c r="A143" s="64">
        <v>1</v>
      </c>
      <c r="B143" s="92">
        <f>SUBTOTAL(103,$A$16:A143)</f>
        <v>127</v>
      </c>
      <c r="C143" s="91" t="s">
        <v>1178</v>
      </c>
      <c r="D143" s="126">
        <v>1985</v>
      </c>
      <c r="E143" s="126">
        <v>2014</v>
      </c>
      <c r="F143" s="145" t="s">
        <v>273</v>
      </c>
      <c r="G143" s="126">
        <v>9</v>
      </c>
      <c r="H143" s="126">
        <v>3</v>
      </c>
      <c r="I143" s="118">
        <v>7073.4</v>
      </c>
      <c r="J143" s="118">
        <v>6236.1</v>
      </c>
      <c r="K143" s="118">
        <v>5083.1000000000004</v>
      </c>
      <c r="L143" s="127">
        <v>235</v>
      </c>
      <c r="M143" s="126" t="s">
        <v>271</v>
      </c>
      <c r="N143" s="126" t="s">
        <v>275</v>
      </c>
      <c r="O143" s="124" t="s">
        <v>1360</v>
      </c>
      <c r="P143" s="118">
        <v>5068816.8</v>
      </c>
      <c r="Q143" s="118">
        <v>0</v>
      </c>
      <c r="R143" s="118">
        <v>0</v>
      </c>
      <c r="S143" s="118">
        <f t="shared" si="18"/>
        <v>5068816.8</v>
      </c>
      <c r="T143" s="118">
        <f t="shared" si="19"/>
        <v>716.60259564000341</v>
      </c>
      <c r="U143" s="118">
        <v>3602.6400000000003</v>
      </c>
      <c r="V143" s="183">
        <f t="shared" si="12"/>
        <v>2886.0374043599968</v>
      </c>
      <c r="W143" s="183"/>
      <c r="X143" s="183"/>
      <c r="Y143" s="64" t="e">
        <f t="shared" si="13"/>
        <v>#N/A</v>
      </c>
      <c r="AA143" s="64" t="e">
        <f t="shared" si="14"/>
        <v>#N/A</v>
      </c>
      <c r="AC143" s="64" t="s">
        <v>1383</v>
      </c>
      <c r="AD143" s="64">
        <v>439.23</v>
      </c>
      <c r="AH143" s="64" t="e">
        <f t="shared" si="15"/>
        <v>#N/A</v>
      </c>
      <c r="AS143" s="64" t="e">
        <f t="shared" si="16"/>
        <v>#N/A</v>
      </c>
    </row>
    <row r="144" spans="1:45" s="64" customFormat="1" ht="36" customHeight="1" x14ac:dyDescent="0.9">
      <c r="A144" s="64">
        <v>1</v>
      </c>
      <c r="B144" s="92">
        <f>SUBTOTAL(103,$A$16:A144)</f>
        <v>128</v>
      </c>
      <c r="C144" s="91" t="s">
        <v>1179</v>
      </c>
      <c r="D144" s="126">
        <v>1966</v>
      </c>
      <c r="E144" s="126"/>
      <c r="F144" s="145" t="s">
        <v>273</v>
      </c>
      <c r="G144" s="126">
        <v>2</v>
      </c>
      <c r="H144" s="126">
        <v>2</v>
      </c>
      <c r="I144" s="118">
        <v>787.5</v>
      </c>
      <c r="J144" s="118">
        <v>727.8</v>
      </c>
      <c r="K144" s="118">
        <v>727.8</v>
      </c>
      <c r="L144" s="127">
        <v>35</v>
      </c>
      <c r="M144" s="126" t="s">
        <v>271</v>
      </c>
      <c r="N144" s="126" t="s">
        <v>272</v>
      </c>
      <c r="O144" s="124" t="s">
        <v>274</v>
      </c>
      <c r="P144" s="118">
        <v>3428296.69</v>
      </c>
      <c r="Q144" s="118">
        <v>0</v>
      </c>
      <c r="R144" s="118">
        <v>0</v>
      </c>
      <c r="S144" s="118">
        <f t="shared" si="18"/>
        <v>3428296.69</v>
      </c>
      <c r="T144" s="118">
        <f t="shared" si="19"/>
        <v>4353.3926222222226</v>
      </c>
      <c r="U144" s="118">
        <f>T144</f>
        <v>4353.3926222222226</v>
      </c>
      <c r="V144" s="183">
        <f t="shared" si="12"/>
        <v>0</v>
      </c>
      <c r="W144" s="183"/>
      <c r="X144" s="183"/>
      <c r="Y144" s="64">
        <f t="shared" si="13"/>
        <v>4199.5870628571438</v>
      </c>
      <c r="AA144" s="64">
        <f t="shared" si="14"/>
        <v>633.34</v>
      </c>
      <c r="AC144" s="64" t="s">
        <v>1382</v>
      </c>
      <c r="AD144" s="64">
        <v>524.41999999999996</v>
      </c>
      <c r="AH144" s="64" t="e">
        <f t="shared" si="15"/>
        <v>#N/A</v>
      </c>
      <c r="AS144" s="64" t="e">
        <f t="shared" si="16"/>
        <v>#N/A</v>
      </c>
    </row>
    <row r="145" spans="1:45" s="64" customFormat="1" ht="36" customHeight="1" x14ac:dyDescent="0.9">
      <c r="A145" s="64">
        <v>1</v>
      </c>
      <c r="B145" s="92">
        <f>SUBTOTAL(103,$A$16:A145)</f>
        <v>129</v>
      </c>
      <c r="C145" s="91" t="s">
        <v>1316</v>
      </c>
      <c r="D145" s="126">
        <v>1977</v>
      </c>
      <c r="E145" s="126"/>
      <c r="F145" s="145" t="s">
        <v>326</v>
      </c>
      <c r="G145" s="126">
        <v>5</v>
      </c>
      <c r="H145" s="126">
        <v>8</v>
      </c>
      <c r="I145" s="118">
        <v>6715.9</v>
      </c>
      <c r="J145" s="118">
        <v>6150.8</v>
      </c>
      <c r="K145" s="118">
        <v>5734.8</v>
      </c>
      <c r="L145" s="127">
        <v>309</v>
      </c>
      <c r="M145" s="126" t="s">
        <v>271</v>
      </c>
      <c r="N145" s="126" t="s">
        <v>275</v>
      </c>
      <c r="O145" s="124" t="s">
        <v>1384</v>
      </c>
      <c r="P145" s="118">
        <v>6675394.71</v>
      </c>
      <c r="Q145" s="118">
        <v>0</v>
      </c>
      <c r="R145" s="118">
        <v>0</v>
      </c>
      <c r="S145" s="118">
        <f t="shared" si="18"/>
        <v>6675394.71</v>
      </c>
      <c r="T145" s="118">
        <f t="shared" si="19"/>
        <v>993.96874730118088</v>
      </c>
      <c r="U145" s="118">
        <f>Y145</f>
        <v>1302.1260679879094</v>
      </c>
      <c r="V145" s="183">
        <f t="shared" ref="V145:V208" si="20">U145-T145</f>
        <v>308.15732068672855</v>
      </c>
      <c r="W145" s="183"/>
      <c r="X145" s="183"/>
      <c r="Y145" s="64">
        <f t="shared" ref="Y145:Y208" si="21">AA145*5221.8/I145</f>
        <v>1302.1260679879094</v>
      </c>
      <c r="AA145" s="64">
        <f t="shared" ref="AA145:AA208" si="22">VLOOKUP(C145,AC:AE,2,FALSE)</f>
        <v>1674.7</v>
      </c>
      <c r="AC145" s="64" t="s">
        <v>1607</v>
      </c>
      <c r="AD145" s="64">
        <v>1010.5</v>
      </c>
      <c r="AH145" s="64" t="e">
        <f t="shared" ref="AH145:AH208" si="23">VLOOKUP(C145,AJ:AK,2,FALSE)</f>
        <v>#N/A</v>
      </c>
      <c r="AS145" s="64" t="e">
        <f t="shared" ref="AS145:AS208" si="24">VLOOKUP(C145,AU:AV,2,FALSE)</f>
        <v>#N/A</v>
      </c>
    </row>
    <row r="146" spans="1:45" s="64" customFormat="1" ht="36" customHeight="1" x14ac:dyDescent="0.9">
      <c r="A146" s="64">
        <v>1</v>
      </c>
      <c r="B146" s="92">
        <f>SUBTOTAL(103,$A$16:A146)</f>
        <v>130</v>
      </c>
      <c r="C146" s="91" t="s">
        <v>473</v>
      </c>
      <c r="D146" s="126">
        <v>1970</v>
      </c>
      <c r="E146" s="126"/>
      <c r="F146" s="145" t="s">
        <v>273</v>
      </c>
      <c r="G146" s="126">
        <v>2</v>
      </c>
      <c r="H146" s="126">
        <v>2</v>
      </c>
      <c r="I146" s="118">
        <v>794.8</v>
      </c>
      <c r="J146" s="118">
        <v>737.8</v>
      </c>
      <c r="K146" s="118">
        <v>636.70000000000005</v>
      </c>
      <c r="L146" s="127">
        <v>42</v>
      </c>
      <c r="M146" s="126" t="s">
        <v>271</v>
      </c>
      <c r="N146" s="126" t="s">
        <v>272</v>
      </c>
      <c r="O146" s="124" t="s">
        <v>274</v>
      </c>
      <c r="P146" s="118">
        <v>4358701.74</v>
      </c>
      <c r="Q146" s="118">
        <v>0</v>
      </c>
      <c r="R146" s="118">
        <v>0</v>
      </c>
      <c r="S146" s="118">
        <f t="shared" si="18"/>
        <v>4358701.74</v>
      </c>
      <c r="T146" s="118">
        <f t="shared" si="19"/>
        <v>5484.0233266230507</v>
      </c>
      <c r="U146" s="118">
        <f>T146</f>
        <v>5484.0233266230507</v>
      </c>
      <c r="V146" s="183">
        <f t="shared" si="20"/>
        <v>0</v>
      </c>
      <c r="W146" s="183"/>
      <c r="X146" s="183"/>
      <c r="Y146" s="64">
        <f t="shared" si="21"/>
        <v>4723.7974333165585</v>
      </c>
      <c r="AA146" s="64">
        <f t="shared" si="22"/>
        <v>719</v>
      </c>
      <c r="AC146" s="64" t="s">
        <v>657</v>
      </c>
      <c r="AD146" s="64">
        <v>1399.31</v>
      </c>
      <c r="AH146" s="64" t="e">
        <f t="shared" si="23"/>
        <v>#N/A</v>
      </c>
      <c r="AS146" s="64" t="e">
        <f t="shared" si="24"/>
        <v>#N/A</v>
      </c>
    </row>
    <row r="147" spans="1:45" s="64" customFormat="1" ht="36" customHeight="1" x14ac:dyDescent="0.9">
      <c r="A147" s="64">
        <v>1</v>
      </c>
      <c r="B147" s="92">
        <f>SUBTOTAL(103,$A$16:A147)</f>
        <v>131</v>
      </c>
      <c r="C147" s="91" t="s">
        <v>1317</v>
      </c>
      <c r="D147" s="126">
        <v>1978</v>
      </c>
      <c r="E147" s="126"/>
      <c r="F147" s="145" t="s">
        <v>338</v>
      </c>
      <c r="G147" s="126">
        <v>3</v>
      </c>
      <c r="H147" s="126">
        <v>2</v>
      </c>
      <c r="I147" s="118">
        <v>873.7</v>
      </c>
      <c r="J147" s="118">
        <v>873.7</v>
      </c>
      <c r="K147" s="118">
        <v>691.7</v>
      </c>
      <c r="L147" s="127">
        <v>31</v>
      </c>
      <c r="M147" s="126" t="s">
        <v>271</v>
      </c>
      <c r="N147" s="126" t="s">
        <v>272</v>
      </c>
      <c r="O147" s="124" t="s">
        <v>274</v>
      </c>
      <c r="P147" s="118">
        <v>3032293.2399999998</v>
      </c>
      <c r="Q147" s="118">
        <v>0</v>
      </c>
      <c r="R147" s="118">
        <v>0</v>
      </c>
      <c r="S147" s="118">
        <f t="shared" si="18"/>
        <v>3032293.2399999998</v>
      </c>
      <c r="T147" s="118">
        <f t="shared" si="19"/>
        <v>3470.6343596200063</v>
      </c>
      <c r="U147" s="118">
        <f>AG147</f>
        <v>4203.1979008813087</v>
      </c>
      <c r="V147" s="183">
        <f t="shared" si="20"/>
        <v>732.56354126130236</v>
      </c>
      <c r="W147" s="183"/>
      <c r="X147" s="183"/>
      <c r="Y147" s="64" t="e">
        <f t="shared" si="21"/>
        <v>#N/A</v>
      </c>
      <c r="AA147" s="64" t="e">
        <f t="shared" si="22"/>
        <v>#N/A</v>
      </c>
      <c r="AC147" s="64" t="s">
        <v>663</v>
      </c>
      <c r="AD147" s="64">
        <v>1122.5</v>
      </c>
      <c r="AG147" s="64">
        <f>AH147*6191.24/J147</f>
        <v>4203.1979008813087</v>
      </c>
      <c r="AH147" s="64">
        <f t="shared" si="23"/>
        <v>593.15</v>
      </c>
      <c r="AS147" s="64" t="e">
        <f t="shared" si="24"/>
        <v>#N/A</v>
      </c>
    </row>
    <row r="148" spans="1:45" s="64" customFormat="1" ht="36" customHeight="1" x14ac:dyDescent="0.9">
      <c r="A148" s="64">
        <v>1</v>
      </c>
      <c r="B148" s="92">
        <f>SUBTOTAL(103,$A$16:A148)</f>
        <v>132</v>
      </c>
      <c r="C148" s="91" t="s">
        <v>1608</v>
      </c>
      <c r="D148" s="126">
        <v>1927</v>
      </c>
      <c r="E148" s="126"/>
      <c r="F148" s="145" t="s">
        <v>1626</v>
      </c>
      <c r="G148" s="126">
        <v>2</v>
      </c>
      <c r="H148" s="126">
        <v>2</v>
      </c>
      <c r="I148" s="118">
        <v>474.6</v>
      </c>
      <c r="J148" s="118">
        <v>239.9</v>
      </c>
      <c r="K148" s="118">
        <v>239.9</v>
      </c>
      <c r="L148" s="127">
        <v>13</v>
      </c>
      <c r="M148" s="126" t="s">
        <v>271</v>
      </c>
      <c r="N148" s="126" t="s">
        <v>275</v>
      </c>
      <c r="O148" s="124" t="s">
        <v>1625</v>
      </c>
      <c r="P148" s="118">
        <v>2944456.9299999997</v>
      </c>
      <c r="Q148" s="118">
        <v>0</v>
      </c>
      <c r="R148" s="118">
        <v>0</v>
      </c>
      <c r="S148" s="118">
        <f>P148-R148-Q148</f>
        <v>2944456.9299999997</v>
      </c>
      <c r="T148" s="118">
        <f t="shared" si="19"/>
        <v>6204.0811841550767</v>
      </c>
      <c r="U148" s="118">
        <f>AG148</f>
        <v>16377.494389328887</v>
      </c>
      <c r="V148" s="183">
        <f t="shared" si="20"/>
        <v>10173.413205173811</v>
      </c>
      <c r="W148" s="183"/>
      <c r="X148" s="183"/>
      <c r="Y148" s="64" t="e">
        <f t="shared" si="21"/>
        <v>#N/A</v>
      </c>
      <c r="AA148" s="64" t="e">
        <f t="shared" si="22"/>
        <v>#N/A</v>
      </c>
      <c r="AC148" s="64" t="s">
        <v>1223</v>
      </c>
      <c r="AD148" s="64">
        <v>1161</v>
      </c>
      <c r="AG148" s="64">
        <f>AH148*6191.24/J148</f>
        <v>16377.494389328887</v>
      </c>
      <c r="AH148" s="64">
        <f t="shared" si="23"/>
        <v>634.6</v>
      </c>
      <c r="AS148" s="64" t="e">
        <f t="shared" si="24"/>
        <v>#N/A</v>
      </c>
    </row>
    <row r="149" spans="1:45" s="64" customFormat="1" ht="36" customHeight="1" x14ac:dyDescent="0.9">
      <c r="B149" s="91" t="s">
        <v>782</v>
      </c>
      <c r="C149" s="172"/>
      <c r="D149" s="126" t="s">
        <v>916</v>
      </c>
      <c r="E149" s="126" t="s">
        <v>916</v>
      </c>
      <c r="F149" s="126" t="s">
        <v>916</v>
      </c>
      <c r="G149" s="126" t="s">
        <v>916</v>
      </c>
      <c r="H149" s="126" t="s">
        <v>916</v>
      </c>
      <c r="I149" s="117">
        <f>SUM(I150:I189)</f>
        <v>115020.95999999998</v>
      </c>
      <c r="J149" s="117">
        <f>SUM(J150:J189)</f>
        <v>98103.669999999984</v>
      </c>
      <c r="K149" s="117">
        <f>SUM(K150:K189)</f>
        <v>91534.319999999978</v>
      </c>
      <c r="L149" s="127">
        <f>SUM(L150:L189)</f>
        <v>4374</v>
      </c>
      <c r="M149" s="126" t="s">
        <v>916</v>
      </c>
      <c r="N149" s="126" t="s">
        <v>916</v>
      </c>
      <c r="O149" s="124" t="s">
        <v>916</v>
      </c>
      <c r="P149" s="117">
        <v>145566464.63000003</v>
      </c>
      <c r="Q149" s="117">
        <f>SUM(Q150:Q189)</f>
        <v>0</v>
      </c>
      <c r="R149" s="117">
        <f>SUM(R150:R189)</f>
        <v>0</v>
      </c>
      <c r="S149" s="117">
        <f>SUM(S150:S189)</f>
        <v>145566464.63000003</v>
      </c>
      <c r="T149" s="118">
        <f t="shared" si="19"/>
        <v>1265.5646816893204</v>
      </c>
      <c r="U149" s="118">
        <f>MAX(U150:U189)</f>
        <v>6420.6446003850215</v>
      </c>
      <c r="V149" s="183">
        <f t="shared" si="20"/>
        <v>5155.0799186957011</v>
      </c>
      <c r="W149" s="183"/>
      <c r="X149" s="183"/>
      <c r="Y149" s="64" t="e">
        <f t="shared" si="21"/>
        <v>#N/A</v>
      </c>
      <c r="AA149" s="64" t="e">
        <f t="shared" si="22"/>
        <v>#N/A</v>
      </c>
      <c r="AC149" s="64" t="s">
        <v>1225</v>
      </c>
      <c r="AD149" s="64">
        <v>452.1</v>
      </c>
      <c r="AH149" s="64" t="e">
        <f t="shared" si="23"/>
        <v>#N/A</v>
      </c>
      <c r="AS149" s="64" t="e">
        <f t="shared" si="24"/>
        <v>#N/A</v>
      </c>
    </row>
    <row r="150" spans="1:45" s="64" customFormat="1" ht="36" customHeight="1" x14ac:dyDescent="0.9">
      <c r="A150" s="64">
        <v>1</v>
      </c>
      <c r="B150" s="92">
        <f>SUBTOTAL(103,$A$16:A150)</f>
        <v>133</v>
      </c>
      <c r="C150" s="91" t="s">
        <v>396</v>
      </c>
      <c r="D150" s="126">
        <v>1974</v>
      </c>
      <c r="E150" s="126"/>
      <c r="F150" s="145" t="s">
        <v>319</v>
      </c>
      <c r="G150" s="126">
        <v>5</v>
      </c>
      <c r="H150" s="126">
        <v>6</v>
      </c>
      <c r="I150" s="118">
        <v>4988.6899999999996</v>
      </c>
      <c r="J150" s="118">
        <v>4519.59</v>
      </c>
      <c r="K150" s="118">
        <v>4250.8900000000003</v>
      </c>
      <c r="L150" s="127">
        <v>200</v>
      </c>
      <c r="M150" s="126" t="s">
        <v>271</v>
      </c>
      <c r="N150" s="126" t="s">
        <v>275</v>
      </c>
      <c r="O150" s="124" t="s">
        <v>329</v>
      </c>
      <c r="P150" s="118">
        <v>2686667.5</v>
      </c>
      <c r="Q150" s="118">
        <v>0</v>
      </c>
      <c r="R150" s="118">
        <v>0</v>
      </c>
      <c r="S150" s="118">
        <f t="shared" ref="S150:S185" si="25">P150-Q150-R150</f>
        <v>2686667.5</v>
      </c>
      <c r="T150" s="118">
        <f t="shared" si="19"/>
        <v>538.55170395434482</v>
      </c>
      <c r="U150" s="118">
        <f>Y150</f>
        <v>1160.8000825868116</v>
      </c>
      <c r="V150" s="183">
        <f t="shared" si="20"/>
        <v>622.24837863246682</v>
      </c>
      <c r="W150" s="183"/>
      <c r="X150" s="183"/>
      <c r="Y150" s="64">
        <f t="shared" si="21"/>
        <v>1160.8000825868116</v>
      </c>
      <c r="AA150" s="64">
        <f t="shared" si="22"/>
        <v>1108.98</v>
      </c>
      <c r="AC150" s="64" t="s">
        <v>1226</v>
      </c>
      <c r="AD150" s="64">
        <v>992</v>
      </c>
      <c r="AH150" s="64" t="e">
        <f t="shared" si="23"/>
        <v>#N/A</v>
      </c>
      <c r="AS150" s="64" t="e">
        <f t="shared" si="24"/>
        <v>#N/A</v>
      </c>
    </row>
    <row r="151" spans="1:45" s="64" customFormat="1" ht="36" customHeight="1" x14ac:dyDescent="0.9">
      <c r="A151" s="64">
        <v>1</v>
      </c>
      <c r="B151" s="92">
        <f>SUBTOTAL(103,$A$16:A151)</f>
        <v>134</v>
      </c>
      <c r="C151" s="91" t="s">
        <v>397</v>
      </c>
      <c r="D151" s="126">
        <v>1975</v>
      </c>
      <c r="E151" s="126"/>
      <c r="F151" s="145" t="s">
        <v>319</v>
      </c>
      <c r="G151" s="126">
        <v>5</v>
      </c>
      <c r="H151" s="126">
        <v>8</v>
      </c>
      <c r="I151" s="118">
        <v>6689.89</v>
      </c>
      <c r="J151" s="118">
        <v>6122.82</v>
      </c>
      <c r="K151" s="118">
        <v>5460.0199999999995</v>
      </c>
      <c r="L151" s="127">
        <v>285</v>
      </c>
      <c r="M151" s="126" t="s">
        <v>271</v>
      </c>
      <c r="N151" s="126" t="s">
        <v>275</v>
      </c>
      <c r="O151" s="124" t="s">
        <v>1018</v>
      </c>
      <c r="P151" s="118">
        <v>3090535.5400000005</v>
      </c>
      <c r="Q151" s="118">
        <v>0</v>
      </c>
      <c r="R151" s="118">
        <v>0</v>
      </c>
      <c r="S151" s="118">
        <f t="shared" si="25"/>
        <v>3090535.5400000005</v>
      </c>
      <c r="T151" s="118">
        <f t="shared" si="19"/>
        <v>461.97105483049802</v>
      </c>
      <c r="U151" s="118">
        <v>3080.1800000000003</v>
      </c>
      <c r="V151" s="183">
        <f t="shared" si="20"/>
        <v>2618.2089451695024</v>
      </c>
      <c r="W151" s="183"/>
      <c r="X151" s="183"/>
      <c r="Y151" s="64" t="e">
        <f t="shared" si="21"/>
        <v>#N/A</v>
      </c>
      <c r="AA151" s="64" t="e">
        <f t="shared" si="22"/>
        <v>#N/A</v>
      </c>
      <c r="AC151" s="64" t="s">
        <v>661</v>
      </c>
      <c r="AD151" s="64">
        <v>796.1</v>
      </c>
      <c r="AH151" s="64" t="e">
        <f t="shared" si="23"/>
        <v>#N/A</v>
      </c>
      <c r="AS151" s="64" t="e">
        <f t="shared" si="24"/>
        <v>#N/A</v>
      </c>
    </row>
    <row r="152" spans="1:45" s="64" customFormat="1" ht="36" customHeight="1" x14ac:dyDescent="0.9">
      <c r="A152" s="64">
        <v>1</v>
      </c>
      <c r="B152" s="92">
        <f>SUBTOTAL(103,$A$16:A152)</f>
        <v>135</v>
      </c>
      <c r="C152" s="91" t="s">
        <v>398</v>
      </c>
      <c r="D152" s="126">
        <v>1954</v>
      </c>
      <c r="E152" s="126"/>
      <c r="F152" s="145" t="s">
        <v>273</v>
      </c>
      <c r="G152" s="126">
        <v>2</v>
      </c>
      <c r="H152" s="126">
        <v>3</v>
      </c>
      <c r="I152" s="118">
        <v>641.79999999999995</v>
      </c>
      <c r="J152" s="118">
        <v>552.4</v>
      </c>
      <c r="K152" s="118">
        <v>505.4</v>
      </c>
      <c r="L152" s="127">
        <v>34</v>
      </c>
      <c r="M152" s="126" t="s">
        <v>271</v>
      </c>
      <c r="N152" s="126" t="s">
        <v>275</v>
      </c>
      <c r="O152" s="124" t="s">
        <v>329</v>
      </c>
      <c r="P152" s="118">
        <v>3235281</v>
      </c>
      <c r="Q152" s="118">
        <v>0</v>
      </c>
      <c r="R152" s="118">
        <v>0</v>
      </c>
      <c r="S152" s="118">
        <f t="shared" si="25"/>
        <v>3235281</v>
      </c>
      <c r="T152" s="118">
        <f t="shared" si="19"/>
        <v>5040.9488937363667</v>
      </c>
      <c r="U152" s="118">
        <f>T152</f>
        <v>5040.9488937363667</v>
      </c>
      <c r="V152" s="183">
        <f t="shared" si="20"/>
        <v>0</v>
      </c>
      <c r="W152" s="183"/>
      <c r="X152" s="183"/>
      <c r="Y152" s="64">
        <f t="shared" si="21"/>
        <v>4881.7076971019014</v>
      </c>
      <c r="AA152" s="64">
        <f t="shared" si="22"/>
        <v>600</v>
      </c>
      <c r="AC152" s="64" t="s">
        <v>671</v>
      </c>
      <c r="AD152" s="64">
        <v>374</v>
      </c>
      <c r="AH152" s="64" t="e">
        <f t="shared" si="23"/>
        <v>#N/A</v>
      </c>
      <c r="AS152" s="64" t="e">
        <f t="shared" si="24"/>
        <v>#N/A</v>
      </c>
    </row>
    <row r="153" spans="1:45" s="64" customFormat="1" ht="36" customHeight="1" x14ac:dyDescent="0.9">
      <c r="A153" s="64">
        <v>1</v>
      </c>
      <c r="B153" s="92">
        <f>SUBTOTAL(103,$A$16:A153)</f>
        <v>136</v>
      </c>
      <c r="C153" s="91" t="s">
        <v>399</v>
      </c>
      <c r="D153" s="126">
        <v>1975</v>
      </c>
      <c r="E153" s="126"/>
      <c r="F153" s="145" t="s">
        <v>273</v>
      </c>
      <c r="G153" s="126">
        <v>5</v>
      </c>
      <c r="H153" s="126">
        <v>4</v>
      </c>
      <c r="I153" s="118">
        <v>3325.2</v>
      </c>
      <c r="J153" s="118">
        <v>2700</v>
      </c>
      <c r="K153" s="118">
        <v>2574</v>
      </c>
      <c r="L153" s="127">
        <v>116</v>
      </c>
      <c r="M153" s="126" t="s">
        <v>271</v>
      </c>
      <c r="N153" s="126" t="s">
        <v>275</v>
      </c>
      <c r="O153" s="124" t="s">
        <v>330</v>
      </c>
      <c r="P153" s="118">
        <v>4961392.7300000004</v>
      </c>
      <c r="Q153" s="118">
        <v>0</v>
      </c>
      <c r="R153" s="118">
        <v>0</v>
      </c>
      <c r="S153" s="118">
        <f t="shared" si="25"/>
        <v>4961392.7300000004</v>
      </c>
      <c r="T153" s="118">
        <f t="shared" si="19"/>
        <v>1492.0584415974981</v>
      </c>
      <c r="U153" s="118">
        <f>T153</f>
        <v>1492.0584415974981</v>
      </c>
      <c r="V153" s="183">
        <f t="shared" si="20"/>
        <v>0</v>
      </c>
      <c r="W153" s="183"/>
      <c r="X153" s="183"/>
      <c r="Y153" s="64">
        <f t="shared" si="21"/>
        <v>1457.3049440635152</v>
      </c>
      <c r="AA153" s="64">
        <f t="shared" si="22"/>
        <v>928</v>
      </c>
      <c r="AC153" s="64" t="s">
        <v>665</v>
      </c>
      <c r="AD153" s="64">
        <v>723.65</v>
      </c>
      <c r="AH153" s="64" t="e">
        <f t="shared" si="23"/>
        <v>#N/A</v>
      </c>
      <c r="AS153" s="64" t="e">
        <f t="shared" si="24"/>
        <v>#N/A</v>
      </c>
    </row>
    <row r="154" spans="1:45" s="64" customFormat="1" ht="36" customHeight="1" x14ac:dyDescent="0.9">
      <c r="A154" s="64">
        <v>1</v>
      </c>
      <c r="B154" s="92">
        <f>SUBTOTAL(103,$A$16:A154)</f>
        <v>137</v>
      </c>
      <c r="C154" s="91" t="s">
        <v>400</v>
      </c>
      <c r="D154" s="126">
        <v>1966</v>
      </c>
      <c r="E154" s="126"/>
      <c r="F154" s="145" t="s">
        <v>273</v>
      </c>
      <c r="G154" s="126">
        <v>4</v>
      </c>
      <c r="H154" s="126">
        <v>4</v>
      </c>
      <c r="I154" s="118">
        <v>2747.7</v>
      </c>
      <c r="J154" s="118">
        <v>2392.9</v>
      </c>
      <c r="K154" s="118">
        <v>2351.5</v>
      </c>
      <c r="L154" s="127">
        <v>113</v>
      </c>
      <c r="M154" s="126" t="s">
        <v>271</v>
      </c>
      <c r="N154" s="126" t="s">
        <v>275</v>
      </c>
      <c r="O154" s="124" t="s">
        <v>1018</v>
      </c>
      <c r="P154" s="118">
        <v>4506717.16</v>
      </c>
      <c r="Q154" s="118">
        <v>0</v>
      </c>
      <c r="R154" s="118">
        <v>0</v>
      </c>
      <c r="S154" s="118">
        <f t="shared" si="25"/>
        <v>4506717.16</v>
      </c>
      <c r="T154" s="118">
        <f t="shared" si="19"/>
        <v>1640.1780252574883</v>
      </c>
      <c r="U154" s="118">
        <f>Y154</f>
        <v>1854.8155912217492</v>
      </c>
      <c r="V154" s="183">
        <f t="shared" si="20"/>
        <v>214.63756596426083</v>
      </c>
      <c r="W154" s="183"/>
      <c r="X154" s="183"/>
      <c r="Y154" s="64">
        <f t="shared" si="21"/>
        <v>1854.8155912217492</v>
      </c>
      <c r="AA154" s="64">
        <f t="shared" si="22"/>
        <v>976</v>
      </c>
      <c r="AC154" s="64" t="s">
        <v>670</v>
      </c>
      <c r="AD154" s="64">
        <v>1151.4000000000001</v>
      </c>
      <c r="AH154" s="64" t="e">
        <f t="shared" si="23"/>
        <v>#N/A</v>
      </c>
      <c r="AS154" s="64" t="e">
        <f t="shared" si="24"/>
        <v>#N/A</v>
      </c>
    </row>
    <row r="155" spans="1:45" s="64" customFormat="1" ht="36" customHeight="1" x14ac:dyDescent="0.9">
      <c r="A155" s="64">
        <v>1</v>
      </c>
      <c r="B155" s="92">
        <f>SUBTOTAL(103,$A$16:A155)</f>
        <v>138</v>
      </c>
      <c r="C155" s="91" t="s">
        <v>401</v>
      </c>
      <c r="D155" s="126" t="s">
        <v>331</v>
      </c>
      <c r="E155" s="126"/>
      <c r="F155" s="145" t="s">
        <v>273</v>
      </c>
      <c r="G155" s="126">
        <v>9</v>
      </c>
      <c r="H155" s="126">
        <v>3</v>
      </c>
      <c r="I155" s="118">
        <v>5754.2</v>
      </c>
      <c r="J155" s="118">
        <v>5754.2</v>
      </c>
      <c r="K155" s="118">
        <v>5645.8</v>
      </c>
      <c r="L155" s="127">
        <v>251</v>
      </c>
      <c r="M155" s="126" t="s">
        <v>271</v>
      </c>
      <c r="N155" s="126" t="s">
        <v>275</v>
      </c>
      <c r="O155" s="124" t="s">
        <v>330</v>
      </c>
      <c r="P155" s="118">
        <v>4937143.8899999997</v>
      </c>
      <c r="Q155" s="118">
        <v>0</v>
      </c>
      <c r="R155" s="118">
        <v>0</v>
      </c>
      <c r="S155" s="118">
        <f t="shared" si="25"/>
        <v>4937143.8899999997</v>
      </c>
      <c r="T155" s="118">
        <f t="shared" si="19"/>
        <v>858.00700184213269</v>
      </c>
      <c r="U155" s="118">
        <f>AR155</f>
        <v>1150.853115984846</v>
      </c>
      <c r="V155" s="183">
        <f t="shared" si="20"/>
        <v>292.8461141427133</v>
      </c>
      <c r="W155" s="183"/>
      <c r="X155" s="183"/>
      <c r="Y155" s="64" t="e">
        <f t="shared" si="21"/>
        <v>#N/A</v>
      </c>
      <c r="AA155" s="64" t="e">
        <f t="shared" si="22"/>
        <v>#N/A</v>
      </c>
      <c r="AC155" s="64" t="s">
        <v>1212</v>
      </c>
      <c r="AD155" s="64">
        <v>1995.2</v>
      </c>
      <c r="AH155" s="64" t="e">
        <f t="shared" si="23"/>
        <v>#N/A</v>
      </c>
      <c r="AR155" s="64">
        <f>AS155*2207413/I155</f>
        <v>1150.853115984846</v>
      </c>
      <c r="AS155" s="64">
        <f t="shared" si="24"/>
        <v>3</v>
      </c>
    </row>
    <row r="156" spans="1:45" s="64" customFormat="1" ht="36" customHeight="1" x14ac:dyDescent="0.9">
      <c r="A156" s="64">
        <v>1</v>
      </c>
      <c r="B156" s="92">
        <f>SUBTOTAL(103,$A$16:A156)</f>
        <v>139</v>
      </c>
      <c r="C156" s="91" t="s">
        <v>402</v>
      </c>
      <c r="D156" s="126">
        <v>1949</v>
      </c>
      <c r="E156" s="126"/>
      <c r="F156" s="145" t="s">
        <v>332</v>
      </c>
      <c r="G156" s="126">
        <v>2</v>
      </c>
      <c r="H156" s="126">
        <v>1</v>
      </c>
      <c r="I156" s="118">
        <v>499.5</v>
      </c>
      <c r="J156" s="118">
        <v>450.4</v>
      </c>
      <c r="K156" s="118">
        <v>450.4</v>
      </c>
      <c r="L156" s="127">
        <v>13</v>
      </c>
      <c r="M156" s="126" t="s">
        <v>271</v>
      </c>
      <c r="N156" s="126" t="s">
        <v>272</v>
      </c>
      <c r="O156" s="124" t="s">
        <v>274</v>
      </c>
      <c r="P156" s="118">
        <v>2248715.0900000003</v>
      </c>
      <c r="Q156" s="118">
        <v>0</v>
      </c>
      <c r="R156" s="118">
        <v>0</v>
      </c>
      <c r="S156" s="118">
        <f t="shared" si="25"/>
        <v>2248715.0900000003</v>
      </c>
      <c r="T156" s="118">
        <f t="shared" si="19"/>
        <v>4501.9321121121129</v>
      </c>
      <c r="U156" s="118">
        <f>Y156</f>
        <v>4639.5091891891898</v>
      </c>
      <c r="V156" s="183">
        <f t="shared" si="20"/>
        <v>137.57707707707686</v>
      </c>
      <c r="W156" s="183"/>
      <c r="X156" s="183"/>
      <c r="Y156" s="64">
        <f t="shared" si="21"/>
        <v>4639.5091891891898</v>
      </c>
      <c r="AA156" s="64">
        <f t="shared" si="22"/>
        <v>443.8</v>
      </c>
      <c r="AC156" s="64" t="s">
        <v>1615</v>
      </c>
      <c r="AD156" s="64">
        <v>780.17</v>
      </c>
      <c r="AH156" s="64" t="e">
        <f t="shared" si="23"/>
        <v>#N/A</v>
      </c>
      <c r="AS156" s="64" t="e">
        <f t="shared" si="24"/>
        <v>#N/A</v>
      </c>
    </row>
    <row r="157" spans="1:45" s="64" customFormat="1" ht="36" customHeight="1" x14ac:dyDescent="0.9">
      <c r="A157" s="64">
        <v>1</v>
      </c>
      <c r="B157" s="92">
        <f>SUBTOTAL(103,$A$16:A157)</f>
        <v>140</v>
      </c>
      <c r="C157" s="91" t="s">
        <v>403</v>
      </c>
      <c r="D157" s="126">
        <v>1992</v>
      </c>
      <c r="E157" s="126"/>
      <c r="F157" s="145" t="s">
        <v>273</v>
      </c>
      <c r="G157" s="126">
        <v>9</v>
      </c>
      <c r="H157" s="126">
        <v>3</v>
      </c>
      <c r="I157" s="118">
        <v>6502.8</v>
      </c>
      <c r="J157" s="118">
        <v>5918.2</v>
      </c>
      <c r="K157" s="118">
        <v>5402.9</v>
      </c>
      <c r="L157" s="127">
        <v>278</v>
      </c>
      <c r="M157" s="126" t="s">
        <v>271</v>
      </c>
      <c r="N157" s="126" t="s">
        <v>275</v>
      </c>
      <c r="O157" s="124" t="s">
        <v>1018</v>
      </c>
      <c r="P157" s="118">
        <v>4885396.4400000004</v>
      </c>
      <c r="Q157" s="118">
        <v>0</v>
      </c>
      <c r="R157" s="118">
        <v>0</v>
      </c>
      <c r="S157" s="118">
        <f t="shared" si="25"/>
        <v>4885396.4400000004</v>
      </c>
      <c r="T157" s="118">
        <f t="shared" si="19"/>
        <v>751.27582579811781</v>
      </c>
      <c r="U157" s="118">
        <f>AR157</f>
        <v>1018.3673186934858</v>
      </c>
      <c r="V157" s="183">
        <f t="shared" si="20"/>
        <v>267.09149289536799</v>
      </c>
      <c r="W157" s="183"/>
      <c r="X157" s="183"/>
      <c r="Y157" s="64" t="e">
        <f t="shared" si="21"/>
        <v>#N/A</v>
      </c>
      <c r="AA157" s="64" t="e">
        <f t="shared" si="22"/>
        <v>#N/A</v>
      </c>
      <c r="AC157" s="64" t="s">
        <v>675</v>
      </c>
      <c r="AD157" s="64">
        <v>1188</v>
      </c>
      <c r="AH157" s="64" t="e">
        <f t="shared" si="23"/>
        <v>#N/A</v>
      </c>
      <c r="AR157" s="64">
        <f>AS157*2207413/I157</f>
        <v>1018.3673186934858</v>
      </c>
      <c r="AS157" s="64">
        <f t="shared" si="24"/>
        <v>3</v>
      </c>
    </row>
    <row r="158" spans="1:45" s="64" customFormat="1" ht="36" customHeight="1" x14ac:dyDescent="0.9">
      <c r="A158" s="64">
        <v>1</v>
      </c>
      <c r="B158" s="92">
        <f>SUBTOTAL(103,$A$16:A158)</f>
        <v>141</v>
      </c>
      <c r="C158" s="91" t="s">
        <v>404</v>
      </c>
      <c r="D158" s="126">
        <v>1974</v>
      </c>
      <c r="E158" s="126"/>
      <c r="F158" s="145" t="s">
        <v>273</v>
      </c>
      <c r="G158" s="126">
        <v>5</v>
      </c>
      <c r="H158" s="126">
        <v>6</v>
      </c>
      <c r="I158" s="118">
        <v>5897.3</v>
      </c>
      <c r="J158" s="118">
        <v>4498.7</v>
      </c>
      <c r="K158" s="118">
        <v>4220.3</v>
      </c>
      <c r="L158" s="127">
        <v>209</v>
      </c>
      <c r="M158" s="126" t="s">
        <v>271</v>
      </c>
      <c r="N158" s="126" t="s">
        <v>275</v>
      </c>
      <c r="O158" s="124" t="s">
        <v>333</v>
      </c>
      <c r="P158" s="118">
        <v>8468852.0999999996</v>
      </c>
      <c r="Q158" s="118">
        <v>0</v>
      </c>
      <c r="R158" s="118">
        <v>0</v>
      </c>
      <c r="S158" s="118">
        <f t="shared" si="25"/>
        <v>8468852.0999999996</v>
      </c>
      <c r="T158" s="118">
        <f t="shared" si="19"/>
        <v>1436.0558391128143</v>
      </c>
      <c r="U158" s="118">
        <f>T158</f>
        <v>1436.0558391128143</v>
      </c>
      <c r="V158" s="183">
        <f t="shared" si="20"/>
        <v>0</v>
      </c>
      <c r="W158" s="183"/>
      <c r="X158" s="183"/>
      <c r="Y158" s="64">
        <f t="shared" si="21"/>
        <v>1399.0205687348448</v>
      </c>
      <c r="AA158" s="64">
        <f t="shared" si="22"/>
        <v>1580</v>
      </c>
      <c r="AC158" s="64" t="s">
        <v>1228</v>
      </c>
      <c r="AD158" s="64">
        <v>855</v>
      </c>
      <c r="AH158" s="64" t="e">
        <f t="shared" si="23"/>
        <v>#N/A</v>
      </c>
      <c r="AS158" s="64" t="e">
        <f t="shared" si="24"/>
        <v>#N/A</v>
      </c>
    </row>
    <row r="159" spans="1:45" s="64" customFormat="1" ht="36" customHeight="1" x14ac:dyDescent="0.9">
      <c r="A159" s="64">
        <v>1</v>
      </c>
      <c r="B159" s="92">
        <f>SUBTOTAL(103,$A$16:A159)</f>
        <v>142</v>
      </c>
      <c r="C159" s="91" t="s">
        <v>405</v>
      </c>
      <c r="D159" s="126">
        <v>1974</v>
      </c>
      <c r="E159" s="126"/>
      <c r="F159" s="145" t="s">
        <v>273</v>
      </c>
      <c r="G159" s="126">
        <v>5</v>
      </c>
      <c r="H159" s="126">
        <v>4</v>
      </c>
      <c r="I159" s="118">
        <v>3863.9</v>
      </c>
      <c r="J159" s="118">
        <v>2672.9</v>
      </c>
      <c r="K159" s="118">
        <v>2643.2000000000003</v>
      </c>
      <c r="L159" s="127">
        <v>116</v>
      </c>
      <c r="M159" s="126" t="s">
        <v>271</v>
      </c>
      <c r="N159" s="126" t="s">
        <v>275</v>
      </c>
      <c r="O159" s="124" t="s">
        <v>334</v>
      </c>
      <c r="P159" s="118">
        <v>5226218.99</v>
      </c>
      <c r="Q159" s="118">
        <v>0</v>
      </c>
      <c r="R159" s="118">
        <v>0</v>
      </c>
      <c r="S159" s="118">
        <f t="shared" si="25"/>
        <v>5226218.99</v>
      </c>
      <c r="T159" s="118">
        <f t="shared" si="19"/>
        <v>1352.5761510391055</v>
      </c>
      <c r="U159" s="118">
        <f>Y159</f>
        <v>1513.6043893475503</v>
      </c>
      <c r="V159" s="183">
        <f t="shared" si="20"/>
        <v>161.02823830844477</v>
      </c>
      <c r="W159" s="183"/>
      <c r="X159" s="183"/>
      <c r="Y159" s="64">
        <f t="shared" si="21"/>
        <v>1513.6043893475503</v>
      </c>
      <c r="AA159" s="64">
        <f t="shared" si="22"/>
        <v>1120</v>
      </c>
      <c r="AC159" s="64" t="s">
        <v>1214</v>
      </c>
      <c r="AD159" s="64">
        <v>1155.9000000000001</v>
      </c>
      <c r="AH159" s="64" t="e">
        <f t="shared" si="23"/>
        <v>#N/A</v>
      </c>
      <c r="AS159" s="64" t="e">
        <f t="shared" si="24"/>
        <v>#N/A</v>
      </c>
    </row>
    <row r="160" spans="1:45" s="64" customFormat="1" ht="36" customHeight="1" x14ac:dyDescent="0.9">
      <c r="A160" s="64">
        <v>1</v>
      </c>
      <c r="B160" s="92">
        <f>SUBTOTAL(103,$A$16:A160)</f>
        <v>143</v>
      </c>
      <c r="C160" s="91" t="s">
        <v>406</v>
      </c>
      <c r="D160" s="126">
        <v>1958</v>
      </c>
      <c r="E160" s="126"/>
      <c r="F160" s="145" t="s">
        <v>273</v>
      </c>
      <c r="G160" s="126">
        <v>2</v>
      </c>
      <c r="H160" s="126">
        <v>2</v>
      </c>
      <c r="I160" s="118">
        <v>592.70000000000005</v>
      </c>
      <c r="J160" s="118">
        <v>548</v>
      </c>
      <c r="K160" s="118">
        <v>517.1</v>
      </c>
      <c r="L160" s="127">
        <v>26</v>
      </c>
      <c r="M160" s="126" t="s">
        <v>271</v>
      </c>
      <c r="N160" s="126" t="s">
        <v>272</v>
      </c>
      <c r="O160" s="124" t="s">
        <v>274</v>
      </c>
      <c r="P160" s="118">
        <v>2469495</v>
      </c>
      <c r="Q160" s="118">
        <v>0</v>
      </c>
      <c r="R160" s="118">
        <v>0</v>
      </c>
      <c r="S160" s="118">
        <f t="shared" si="25"/>
        <v>2469495</v>
      </c>
      <c r="T160" s="118">
        <f t="shared" si="19"/>
        <v>4166.5176311793484</v>
      </c>
      <c r="U160" s="118">
        <f>Y160</f>
        <v>4167.2201788425846</v>
      </c>
      <c r="V160" s="183">
        <f t="shared" si="20"/>
        <v>0.70254766323614604</v>
      </c>
      <c r="W160" s="183"/>
      <c r="X160" s="183"/>
      <c r="Y160" s="64">
        <f t="shared" si="21"/>
        <v>4167.2201788425846</v>
      </c>
      <c r="AA160" s="64">
        <f t="shared" si="22"/>
        <v>473</v>
      </c>
      <c r="AC160" s="64" t="s">
        <v>700</v>
      </c>
      <c r="AD160" s="64">
        <v>1022</v>
      </c>
      <c r="AH160" s="64" t="e">
        <f t="shared" si="23"/>
        <v>#N/A</v>
      </c>
      <c r="AS160" s="64" t="e">
        <f t="shared" si="24"/>
        <v>#N/A</v>
      </c>
    </row>
    <row r="161" spans="1:45" s="64" customFormat="1" ht="36" customHeight="1" x14ac:dyDescent="0.9">
      <c r="A161" s="64">
        <v>1</v>
      </c>
      <c r="B161" s="92">
        <f>SUBTOTAL(103,$A$16:A161)</f>
        <v>144</v>
      </c>
      <c r="C161" s="91" t="s">
        <v>407</v>
      </c>
      <c r="D161" s="126">
        <v>1961</v>
      </c>
      <c r="E161" s="126"/>
      <c r="F161" s="145" t="s">
        <v>273</v>
      </c>
      <c r="G161" s="126">
        <v>2</v>
      </c>
      <c r="H161" s="126">
        <v>2</v>
      </c>
      <c r="I161" s="118">
        <v>679.5</v>
      </c>
      <c r="J161" s="118">
        <v>630.79999999999995</v>
      </c>
      <c r="K161" s="118">
        <v>546.79999999999995</v>
      </c>
      <c r="L161" s="127">
        <v>41</v>
      </c>
      <c r="M161" s="126" t="s">
        <v>271</v>
      </c>
      <c r="N161" s="126" t="s">
        <v>275</v>
      </c>
      <c r="O161" s="124" t="s">
        <v>333</v>
      </c>
      <c r="P161" s="118">
        <v>2897372.4000000004</v>
      </c>
      <c r="Q161" s="118">
        <v>0</v>
      </c>
      <c r="R161" s="118">
        <v>0</v>
      </c>
      <c r="S161" s="118">
        <f t="shared" si="25"/>
        <v>2897372.4000000004</v>
      </c>
      <c r="T161" s="118">
        <f t="shared" si="19"/>
        <v>4263.977041942605</v>
      </c>
      <c r="U161" s="118">
        <f>T161</f>
        <v>4263.977041942605</v>
      </c>
      <c r="V161" s="183">
        <f t="shared" si="20"/>
        <v>0</v>
      </c>
      <c r="W161" s="183"/>
      <c r="X161" s="183"/>
      <c r="Y161" s="64">
        <f t="shared" si="21"/>
        <v>4226.622516556291</v>
      </c>
      <c r="AA161" s="64">
        <f t="shared" si="22"/>
        <v>550</v>
      </c>
      <c r="AC161" s="64" t="s">
        <v>698</v>
      </c>
      <c r="AD161" s="64">
        <v>243.96</v>
      </c>
      <c r="AH161" s="64" t="e">
        <f t="shared" si="23"/>
        <v>#N/A</v>
      </c>
      <c r="AS161" s="64" t="e">
        <f t="shared" si="24"/>
        <v>#N/A</v>
      </c>
    </row>
    <row r="162" spans="1:45" s="64" customFormat="1" ht="36" customHeight="1" x14ac:dyDescent="0.9">
      <c r="A162" s="64">
        <v>1</v>
      </c>
      <c r="B162" s="92">
        <f>SUBTOTAL(103,$A$16:A162)</f>
        <v>145</v>
      </c>
      <c r="C162" s="91" t="s">
        <v>408</v>
      </c>
      <c r="D162" s="126">
        <v>1973</v>
      </c>
      <c r="E162" s="126"/>
      <c r="F162" s="145" t="s">
        <v>273</v>
      </c>
      <c r="G162" s="126">
        <v>5</v>
      </c>
      <c r="H162" s="126">
        <v>2</v>
      </c>
      <c r="I162" s="118">
        <v>4577.26</v>
      </c>
      <c r="J162" s="118">
        <v>2783.1</v>
      </c>
      <c r="K162" s="118">
        <v>1846.94</v>
      </c>
      <c r="L162" s="127">
        <v>190</v>
      </c>
      <c r="M162" s="126" t="s">
        <v>271</v>
      </c>
      <c r="N162" s="126" t="s">
        <v>275</v>
      </c>
      <c r="O162" s="124" t="s">
        <v>335</v>
      </c>
      <c r="P162" s="118">
        <v>3951540.32</v>
      </c>
      <c r="Q162" s="118">
        <v>0</v>
      </c>
      <c r="R162" s="118">
        <v>0</v>
      </c>
      <c r="S162" s="118">
        <f t="shared" si="25"/>
        <v>3951540.32</v>
      </c>
      <c r="T162" s="118">
        <f t="shared" si="19"/>
        <v>863.29820023332729</v>
      </c>
      <c r="U162" s="118">
        <v>3191.9682342711576</v>
      </c>
      <c r="V162" s="183">
        <f t="shared" si="20"/>
        <v>2328.6700340378302</v>
      </c>
      <c r="W162" s="183"/>
      <c r="X162" s="183"/>
      <c r="Y162" s="64" t="e">
        <f t="shared" si="21"/>
        <v>#N/A</v>
      </c>
      <c r="AA162" s="64" t="e">
        <f t="shared" si="22"/>
        <v>#N/A</v>
      </c>
      <c r="AC162" s="64" t="s">
        <v>714</v>
      </c>
      <c r="AD162" s="64">
        <v>496</v>
      </c>
      <c r="AH162" s="64" t="e">
        <f t="shared" si="23"/>
        <v>#N/A</v>
      </c>
      <c r="AS162" s="64" t="e">
        <f t="shared" si="24"/>
        <v>#N/A</v>
      </c>
    </row>
    <row r="163" spans="1:45" s="64" customFormat="1" ht="36" customHeight="1" x14ac:dyDescent="0.9">
      <c r="A163" s="64">
        <v>1</v>
      </c>
      <c r="B163" s="92">
        <f>SUBTOTAL(103,$A$16:A163)</f>
        <v>146</v>
      </c>
      <c r="C163" s="91" t="s">
        <v>202</v>
      </c>
      <c r="D163" s="126">
        <v>1986</v>
      </c>
      <c r="E163" s="126"/>
      <c r="F163" s="145" t="s">
        <v>319</v>
      </c>
      <c r="G163" s="126">
        <v>5</v>
      </c>
      <c r="H163" s="126">
        <v>6</v>
      </c>
      <c r="I163" s="118">
        <v>5260.7000000000007</v>
      </c>
      <c r="J163" s="118">
        <v>4728.1000000000004</v>
      </c>
      <c r="K163" s="118">
        <v>4531.4000000000005</v>
      </c>
      <c r="L163" s="127">
        <v>196</v>
      </c>
      <c r="M163" s="126" t="s">
        <v>271</v>
      </c>
      <c r="N163" s="126" t="s">
        <v>275</v>
      </c>
      <c r="O163" s="124" t="s">
        <v>334</v>
      </c>
      <c r="P163" s="118">
        <v>6209660.79</v>
      </c>
      <c r="Q163" s="118">
        <v>0</v>
      </c>
      <c r="R163" s="118">
        <v>0</v>
      </c>
      <c r="S163" s="118">
        <f t="shared" si="25"/>
        <v>6209660.79</v>
      </c>
      <c r="T163" s="118">
        <f t="shared" si="19"/>
        <v>1180.3867907312713</v>
      </c>
      <c r="U163" s="118">
        <f>Y163</f>
        <v>1320.1653772311668</v>
      </c>
      <c r="V163" s="183">
        <f t="shared" si="20"/>
        <v>139.77858649989548</v>
      </c>
      <c r="W163" s="183"/>
      <c r="X163" s="183"/>
      <c r="Y163" s="64">
        <f t="shared" si="21"/>
        <v>1320.1653772311668</v>
      </c>
      <c r="AA163" s="64">
        <f t="shared" si="22"/>
        <v>1330</v>
      </c>
      <c r="AC163" s="64" t="s">
        <v>703</v>
      </c>
      <c r="AD163" s="64">
        <v>701.9</v>
      </c>
      <c r="AH163" s="64" t="e">
        <f t="shared" si="23"/>
        <v>#N/A</v>
      </c>
      <c r="AS163" s="64" t="e">
        <f t="shared" si="24"/>
        <v>#N/A</v>
      </c>
    </row>
    <row r="164" spans="1:45" s="64" customFormat="1" ht="36" customHeight="1" x14ac:dyDescent="0.9">
      <c r="A164" s="64">
        <v>1</v>
      </c>
      <c r="B164" s="92">
        <f>SUBTOTAL(103,$A$16:A164)</f>
        <v>147</v>
      </c>
      <c r="C164" s="91" t="s">
        <v>409</v>
      </c>
      <c r="D164" s="126">
        <v>1951</v>
      </c>
      <c r="E164" s="126"/>
      <c r="F164" s="145" t="s">
        <v>332</v>
      </c>
      <c r="G164" s="126">
        <v>2</v>
      </c>
      <c r="H164" s="126">
        <v>1</v>
      </c>
      <c r="I164" s="118">
        <v>380.35</v>
      </c>
      <c r="J164" s="118">
        <v>339.86</v>
      </c>
      <c r="K164" s="118">
        <v>339.86</v>
      </c>
      <c r="L164" s="127">
        <v>17</v>
      </c>
      <c r="M164" s="126" t="s">
        <v>271</v>
      </c>
      <c r="N164" s="126" t="s">
        <v>275</v>
      </c>
      <c r="O164" s="124" t="s">
        <v>329</v>
      </c>
      <c r="P164" s="118">
        <v>1855795.01</v>
      </c>
      <c r="Q164" s="118">
        <v>0</v>
      </c>
      <c r="R164" s="118">
        <v>0</v>
      </c>
      <c r="S164" s="118">
        <f t="shared" si="25"/>
        <v>1855795.01</v>
      </c>
      <c r="T164" s="118">
        <f t="shared" si="19"/>
        <v>4879.1771000394374</v>
      </c>
      <c r="U164" s="118">
        <f>T164</f>
        <v>4879.1771000394374</v>
      </c>
      <c r="V164" s="183">
        <f t="shared" si="20"/>
        <v>0</v>
      </c>
      <c r="W164" s="183"/>
      <c r="X164" s="183"/>
      <c r="Y164" s="64">
        <f t="shared" si="21"/>
        <v>4695.295385828842</v>
      </c>
      <c r="AA164" s="64">
        <f t="shared" si="22"/>
        <v>342</v>
      </c>
      <c r="AC164" s="64" t="s">
        <v>707</v>
      </c>
      <c r="AD164" s="64">
        <v>705</v>
      </c>
      <c r="AH164" s="64" t="e">
        <f t="shared" si="23"/>
        <v>#N/A</v>
      </c>
      <c r="AS164" s="64" t="e">
        <f t="shared" si="24"/>
        <v>#N/A</v>
      </c>
    </row>
    <row r="165" spans="1:45" s="64" customFormat="1" ht="36" customHeight="1" x14ac:dyDescent="0.9">
      <c r="A165" s="64">
        <v>1</v>
      </c>
      <c r="B165" s="92">
        <f>SUBTOTAL(103,$A$16:A165)</f>
        <v>148</v>
      </c>
      <c r="C165" s="91" t="s">
        <v>410</v>
      </c>
      <c r="D165" s="126">
        <v>1972</v>
      </c>
      <c r="E165" s="126"/>
      <c r="F165" s="145" t="s">
        <v>273</v>
      </c>
      <c r="G165" s="126">
        <v>5</v>
      </c>
      <c r="H165" s="126">
        <v>8</v>
      </c>
      <c r="I165" s="118">
        <v>6552.3399999999992</v>
      </c>
      <c r="J165" s="118">
        <v>6023.94</v>
      </c>
      <c r="K165" s="118">
        <v>5588.4599999999991</v>
      </c>
      <c r="L165" s="127">
        <v>285</v>
      </c>
      <c r="M165" s="126" t="s">
        <v>271</v>
      </c>
      <c r="N165" s="126" t="s">
        <v>275</v>
      </c>
      <c r="O165" s="124" t="s">
        <v>336</v>
      </c>
      <c r="P165" s="118">
        <v>9454848.4199999999</v>
      </c>
      <c r="Q165" s="118">
        <v>0</v>
      </c>
      <c r="R165" s="118">
        <v>0</v>
      </c>
      <c r="S165" s="118">
        <f t="shared" si="25"/>
        <v>9454848.4199999999</v>
      </c>
      <c r="T165" s="118">
        <f t="shared" si="19"/>
        <v>1442.9728036090926</v>
      </c>
      <c r="U165" s="118">
        <f>Y165</f>
        <v>1611.4059404731745</v>
      </c>
      <c r="V165" s="183">
        <f t="shared" si="20"/>
        <v>168.43313686408192</v>
      </c>
      <c r="W165" s="183"/>
      <c r="X165" s="183"/>
      <c r="Y165" s="64">
        <f t="shared" si="21"/>
        <v>1611.4059404731745</v>
      </c>
      <c r="AA165" s="64">
        <f t="shared" si="22"/>
        <v>2022</v>
      </c>
      <c r="AC165" s="64" t="s">
        <v>691</v>
      </c>
      <c r="AD165" s="64">
        <v>795</v>
      </c>
      <c r="AH165" s="64" t="e">
        <f t="shared" si="23"/>
        <v>#N/A</v>
      </c>
      <c r="AS165" s="64" t="e">
        <f t="shared" si="24"/>
        <v>#N/A</v>
      </c>
    </row>
    <row r="166" spans="1:45" s="64" customFormat="1" ht="36" customHeight="1" x14ac:dyDescent="0.9">
      <c r="A166" s="64">
        <v>1</v>
      </c>
      <c r="B166" s="92">
        <f>SUBTOTAL(103,$A$16:A166)</f>
        <v>149</v>
      </c>
      <c r="C166" s="91" t="s">
        <v>1180</v>
      </c>
      <c r="D166" s="126">
        <v>1958</v>
      </c>
      <c r="E166" s="126"/>
      <c r="F166" s="145" t="s">
        <v>273</v>
      </c>
      <c r="G166" s="126">
        <v>2</v>
      </c>
      <c r="H166" s="126">
        <v>2</v>
      </c>
      <c r="I166" s="118">
        <v>731.63</v>
      </c>
      <c r="J166" s="118">
        <v>675.13</v>
      </c>
      <c r="K166" s="118">
        <v>675.13</v>
      </c>
      <c r="L166" s="127">
        <v>28</v>
      </c>
      <c r="M166" s="126" t="s">
        <v>271</v>
      </c>
      <c r="N166" s="126" t="s">
        <v>272</v>
      </c>
      <c r="O166" s="124" t="s">
        <v>274</v>
      </c>
      <c r="P166" s="118">
        <v>2520245</v>
      </c>
      <c r="Q166" s="118">
        <v>0</v>
      </c>
      <c r="R166" s="118">
        <v>0</v>
      </c>
      <c r="S166" s="118">
        <f t="shared" si="25"/>
        <v>2520245</v>
      </c>
      <c r="T166" s="118">
        <f t="shared" si="19"/>
        <v>3444.6988231756491</v>
      </c>
      <c r="U166" s="118">
        <v>3697.55</v>
      </c>
      <c r="V166" s="183">
        <f t="shared" si="20"/>
        <v>252.85117682435111</v>
      </c>
      <c r="W166" s="183"/>
      <c r="X166" s="183"/>
      <c r="Y166" s="64" t="e">
        <f t="shared" si="21"/>
        <v>#N/A</v>
      </c>
      <c r="AA166" s="64" t="e">
        <f t="shared" si="22"/>
        <v>#N/A</v>
      </c>
      <c r="AC166" s="64" t="s">
        <v>686</v>
      </c>
      <c r="AD166" s="64">
        <v>900</v>
      </c>
      <c r="AH166" s="64" t="e">
        <f t="shared" si="23"/>
        <v>#N/A</v>
      </c>
      <c r="AS166" s="64" t="e">
        <f t="shared" si="24"/>
        <v>#N/A</v>
      </c>
    </row>
    <row r="167" spans="1:45" s="64" customFormat="1" ht="36" customHeight="1" x14ac:dyDescent="0.9">
      <c r="A167" s="64">
        <v>1</v>
      </c>
      <c r="B167" s="92">
        <f>SUBTOTAL(103,$A$16:A167)</f>
        <v>150</v>
      </c>
      <c r="C167" s="91" t="s">
        <v>1181</v>
      </c>
      <c r="D167" s="126">
        <v>1963</v>
      </c>
      <c r="E167" s="126"/>
      <c r="F167" s="145" t="s">
        <v>273</v>
      </c>
      <c r="G167" s="126">
        <v>3</v>
      </c>
      <c r="H167" s="126">
        <v>2</v>
      </c>
      <c r="I167" s="118">
        <v>720.17000000000007</v>
      </c>
      <c r="J167" s="118">
        <v>519.07000000000005</v>
      </c>
      <c r="K167" s="118">
        <v>460.94000000000005</v>
      </c>
      <c r="L167" s="127">
        <v>18</v>
      </c>
      <c r="M167" s="126" t="s">
        <v>271</v>
      </c>
      <c r="N167" s="126" t="s">
        <v>272</v>
      </c>
      <c r="O167" s="124" t="s">
        <v>274</v>
      </c>
      <c r="P167" s="118">
        <v>1572592.28</v>
      </c>
      <c r="Q167" s="118">
        <v>0</v>
      </c>
      <c r="R167" s="118">
        <v>0</v>
      </c>
      <c r="S167" s="118">
        <f t="shared" si="25"/>
        <v>1572592.28</v>
      </c>
      <c r="T167" s="118">
        <f t="shared" si="19"/>
        <v>2183.6403626921419</v>
      </c>
      <c r="U167" s="118">
        <f>Y167</f>
        <v>2400.0108307760665</v>
      </c>
      <c r="V167" s="183">
        <f t="shared" si="20"/>
        <v>216.37046808392461</v>
      </c>
      <c r="W167" s="183"/>
      <c r="X167" s="183"/>
      <c r="Y167" s="64">
        <f t="shared" si="21"/>
        <v>2400.0108307760665</v>
      </c>
      <c r="AA167" s="64">
        <f t="shared" si="22"/>
        <v>331</v>
      </c>
      <c r="AC167" s="64" t="s">
        <v>687</v>
      </c>
      <c r="AD167" s="64">
        <v>900</v>
      </c>
      <c r="AH167" s="64" t="e">
        <f t="shared" si="23"/>
        <v>#N/A</v>
      </c>
      <c r="AS167" s="64" t="e">
        <f t="shared" si="24"/>
        <v>#N/A</v>
      </c>
    </row>
    <row r="168" spans="1:45" s="64" customFormat="1" ht="36" customHeight="1" x14ac:dyDescent="0.9">
      <c r="A168" s="64">
        <v>1</v>
      </c>
      <c r="B168" s="92">
        <f>SUBTOTAL(103,$A$16:A168)</f>
        <v>151</v>
      </c>
      <c r="C168" s="91" t="s">
        <v>1182</v>
      </c>
      <c r="D168" s="126">
        <v>1952</v>
      </c>
      <c r="E168" s="126"/>
      <c r="F168" s="145" t="s">
        <v>273</v>
      </c>
      <c r="G168" s="126">
        <v>3</v>
      </c>
      <c r="H168" s="126">
        <v>3</v>
      </c>
      <c r="I168" s="118">
        <v>1798.15</v>
      </c>
      <c r="J168" s="118">
        <v>1637.95</v>
      </c>
      <c r="K168" s="118">
        <v>1637.95</v>
      </c>
      <c r="L168" s="127">
        <v>58</v>
      </c>
      <c r="M168" s="126" t="s">
        <v>271</v>
      </c>
      <c r="N168" s="126" t="s">
        <v>275</v>
      </c>
      <c r="O168" s="124" t="s">
        <v>1018</v>
      </c>
      <c r="P168" s="118">
        <v>2050106.0299999998</v>
      </c>
      <c r="Q168" s="118">
        <v>0</v>
      </c>
      <c r="R168" s="118">
        <v>0</v>
      </c>
      <c r="S168" s="118">
        <f t="shared" si="25"/>
        <v>2050106.0299999998</v>
      </c>
      <c r="T168" s="118">
        <f t="shared" si="19"/>
        <v>1140.1195840169062</v>
      </c>
      <c r="U168" s="118">
        <f>AG168</f>
        <v>4426.2291522940259</v>
      </c>
      <c r="V168" s="183">
        <f t="shared" si="20"/>
        <v>3286.1095682771197</v>
      </c>
      <c r="W168" s="183"/>
      <c r="X168" s="183"/>
      <c r="Y168" s="64" t="e">
        <f t="shared" si="21"/>
        <v>#N/A</v>
      </c>
      <c r="AA168" s="64" t="e">
        <f t="shared" si="22"/>
        <v>#N/A</v>
      </c>
      <c r="AC168" s="64" t="s">
        <v>688</v>
      </c>
      <c r="AD168" s="64">
        <v>900</v>
      </c>
      <c r="AG168" s="64">
        <f>AH168*6191.24/J168</f>
        <v>4426.2291522940259</v>
      </c>
      <c r="AH168" s="64">
        <f t="shared" si="23"/>
        <v>1171</v>
      </c>
      <c r="AS168" s="64" t="e">
        <f t="shared" si="24"/>
        <v>#N/A</v>
      </c>
    </row>
    <row r="169" spans="1:45" s="64" customFormat="1" ht="36" customHeight="1" x14ac:dyDescent="0.9">
      <c r="A169" s="64">
        <v>1</v>
      </c>
      <c r="B169" s="92">
        <f>SUBTOTAL(103,$A$16:A169)</f>
        <v>152</v>
      </c>
      <c r="C169" s="91" t="s">
        <v>1183</v>
      </c>
      <c r="D169" s="126">
        <v>1989</v>
      </c>
      <c r="E169" s="126"/>
      <c r="F169" s="145" t="s">
        <v>273</v>
      </c>
      <c r="G169" s="126">
        <v>9</v>
      </c>
      <c r="H169" s="126">
        <v>2</v>
      </c>
      <c r="I169" s="118">
        <v>4429.1000000000004</v>
      </c>
      <c r="J169" s="118">
        <v>3931.9</v>
      </c>
      <c r="K169" s="118">
        <v>3418.9</v>
      </c>
      <c r="L169" s="127">
        <v>175</v>
      </c>
      <c r="M169" s="126" t="s">
        <v>271</v>
      </c>
      <c r="N169" s="126" t="s">
        <v>275</v>
      </c>
      <c r="O169" s="124" t="s">
        <v>333</v>
      </c>
      <c r="P169" s="118">
        <v>2712861.94</v>
      </c>
      <c r="Q169" s="118">
        <v>0</v>
      </c>
      <c r="R169" s="118">
        <v>0</v>
      </c>
      <c r="S169" s="118">
        <f t="shared" si="25"/>
        <v>2712861.94</v>
      </c>
      <c r="T169" s="118">
        <f t="shared" si="19"/>
        <v>612.50862251924764</v>
      </c>
      <c r="U169" s="118">
        <f>AR169</f>
        <v>996.77722336366298</v>
      </c>
      <c r="V169" s="183">
        <f t="shared" si="20"/>
        <v>384.26860084441535</v>
      </c>
      <c r="W169" s="183"/>
      <c r="X169" s="183"/>
      <c r="Y169" s="64" t="e">
        <f t="shared" si="21"/>
        <v>#N/A</v>
      </c>
      <c r="AA169" s="64" t="e">
        <f t="shared" si="22"/>
        <v>#N/A</v>
      </c>
      <c r="AC169" s="64" t="s">
        <v>694</v>
      </c>
      <c r="AD169" s="64">
        <v>520.4</v>
      </c>
      <c r="AH169" s="64" t="e">
        <f t="shared" si="23"/>
        <v>#N/A</v>
      </c>
      <c r="AR169" s="64">
        <f>AS169*2207413/I169</f>
        <v>996.77722336366298</v>
      </c>
      <c r="AS169" s="64">
        <f t="shared" si="24"/>
        <v>2</v>
      </c>
    </row>
    <row r="170" spans="1:45" s="64" customFormat="1" ht="36" customHeight="1" x14ac:dyDescent="0.9">
      <c r="A170" s="64">
        <v>1</v>
      </c>
      <c r="B170" s="92">
        <f>SUBTOTAL(103,$A$16:A170)</f>
        <v>153</v>
      </c>
      <c r="C170" s="91" t="s">
        <v>1184</v>
      </c>
      <c r="D170" s="126">
        <v>1964</v>
      </c>
      <c r="E170" s="126"/>
      <c r="F170" s="145" t="s">
        <v>273</v>
      </c>
      <c r="G170" s="126">
        <v>2</v>
      </c>
      <c r="H170" s="126">
        <v>2</v>
      </c>
      <c r="I170" s="118">
        <v>634.5</v>
      </c>
      <c r="J170" s="118">
        <v>384.9</v>
      </c>
      <c r="K170" s="118">
        <v>253.53999999999996</v>
      </c>
      <c r="L170" s="127">
        <v>27</v>
      </c>
      <c r="M170" s="126" t="s">
        <v>271</v>
      </c>
      <c r="N170" s="126" t="s">
        <v>275</v>
      </c>
      <c r="O170" s="124" t="s">
        <v>334</v>
      </c>
      <c r="P170" s="118">
        <v>211998.06</v>
      </c>
      <c r="Q170" s="118">
        <v>0</v>
      </c>
      <c r="R170" s="118">
        <v>0</v>
      </c>
      <c r="S170" s="118">
        <f t="shared" si="25"/>
        <v>211998.06</v>
      </c>
      <c r="T170" s="118">
        <f t="shared" si="19"/>
        <v>334.11829787234041</v>
      </c>
      <c r="U170" s="118">
        <f>T170</f>
        <v>334.11829787234041</v>
      </c>
      <c r="V170" s="183">
        <f t="shared" si="20"/>
        <v>0</v>
      </c>
      <c r="W170" s="183"/>
      <c r="X170" s="183"/>
      <c r="Y170" s="64" t="e">
        <f t="shared" si="21"/>
        <v>#N/A</v>
      </c>
      <c r="AA170" s="64" t="e">
        <f t="shared" si="22"/>
        <v>#N/A</v>
      </c>
      <c r="AC170" s="64" t="s">
        <v>682</v>
      </c>
      <c r="AD170" s="64">
        <v>758.8</v>
      </c>
      <c r="AH170" s="64" t="e">
        <f t="shared" si="23"/>
        <v>#N/A</v>
      </c>
      <c r="AS170" s="64" t="e">
        <f t="shared" si="24"/>
        <v>#N/A</v>
      </c>
    </row>
    <row r="171" spans="1:45" s="64" customFormat="1" ht="36" customHeight="1" x14ac:dyDescent="0.9">
      <c r="A171" s="64">
        <v>1</v>
      </c>
      <c r="B171" s="92">
        <f>SUBTOTAL(103,$A$16:A171)</f>
        <v>154</v>
      </c>
      <c r="C171" s="91" t="s">
        <v>1185</v>
      </c>
      <c r="D171" s="126">
        <v>1971</v>
      </c>
      <c r="E171" s="126"/>
      <c r="F171" s="145" t="s">
        <v>273</v>
      </c>
      <c r="G171" s="126">
        <v>5</v>
      </c>
      <c r="H171" s="126">
        <v>6</v>
      </c>
      <c r="I171" s="118">
        <v>5698.2</v>
      </c>
      <c r="J171" s="118">
        <v>4475.3999999999996</v>
      </c>
      <c r="K171" s="118">
        <v>4355.8399999999992</v>
      </c>
      <c r="L171" s="127">
        <v>172</v>
      </c>
      <c r="M171" s="126" t="s">
        <v>271</v>
      </c>
      <c r="N171" s="126" t="s">
        <v>275</v>
      </c>
      <c r="O171" s="124" t="s">
        <v>336</v>
      </c>
      <c r="P171" s="118">
        <v>2878164.01</v>
      </c>
      <c r="Q171" s="118">
        <v>0</v>
      </c>
      <c r="R171" s="118">
        <v>0</v>
      </c>
      <c r="S171" s="118">
        <f t="shared" si="25"/>
        <v>2878164.01</v>
      </c>
      <c r="T171" s="118">
        <f t="shared" si="19"/>
        <v>505.1005598259099</v>
      </c>
      <c r="U171" s="118">
        <v>1418.4320627566599</v>
      </c>
      <c r="V171" s="183">
        <f t="shared" si="20"/>
        <v>913.33150293075005</v>
      </c>
      <c r="W171" s="183"/>
      <c r="X171" s="183"/>
      <c r="Y171" s="64" t="e">
        <f t="shared" si="21"/>
        <v>#N/A</v>
      </c>
      <c r="AA171" s="64" t="e">
        <f t="shared" si="22"/>
        <v>#N/A</v>
      </c>
      <c r="AC171" s="64" t="s">
        <v>1229</v>
      </c>
      <c r="AD171" s="64">
        <v>407.8</v>
      </c>
      <c r="AH171" s="64" t="e">
        <f t="shared" si="23"/>
        <v>#N/A</v>
      </c>
      <c r="AS171" s="64" t="e">
        <f t="shared" si="24"/>
        <v>#N/A</v>
      </c>
    </row>
    <row r="172" spans="1:45" s="64" customFormat="1" ht="36" customHeight="1" x14ac:dyDescent="0.9">
      <c r="A172" s="64">
        <v>1</v>
      </c>
      <c r="B172" s="92">
        <f>SUBTOTAL(103,$A$16:A172)</f>
        <v>155</v>
      </c>
      <c r="C172" s="91" t="s">
        <v>1186</v>
      </c>
      <c r="D172" s="126">
        <v>1991</v>
      </c>
      <c r="E172" s="126"/>
      <c r="F172" s="145" t="s">
        <v>293</v>
      </c>
      <c r="G172" s="126">
        <v>9</v>
      </c>
      <c r="H172" s="126">
        <v>2</v>
      </c>
      <c r="I172" s="118">
        <v>4200.6000000000004</v>
      </c>
      <c r="J172" s="118">
        <v>3780.6</v>
      </c>
      <c r="K172" s="118">
        <v>3265.6</v>
      </c>
      <c r="L172" s="127">
        <v>172</v>
      </c>
      <c r="M172" s="126" t="s">
        <v>271</v>
      </c>
      <c r="N172" s="126" t="s">
        <v>275</v>
      </c>
      <c r="O172" s="124" t="s">
        <v>329</v>
      </c>
      <c r="P172" s="118">
        <v>2712861.94</v>
      </c>
      <c r="Q172" s="118">
        <v>0</v>
      </c>
      <c r="R172" s="118">
        <v>0</v>
      </c>
      <c r="S172" s="118">
        <f t="shared" si="25"/>
        <v>2712861.94</v>
      </c>
      <c r="T172" s="118">
        <f t="shared" si="19"/>
        <v>645.82724848831117</v>
      </c>
      <c r="U172" s="118">
        <f>AR172</f>
        <v>1050.9989049183448</v>
      </c>
      <c r="V172" s="183">
        <f t="shared" si="20"/>
        <v>405.17165643003364</v>
      </c>
      <c r="W172" s="183"/>
      <c r="X172" s="183"/>
      <c r="Y172" s="64" t="e">
        <f t="shared" si="21"/>
        <v>#N/A</v>
      </c>
      <c r="AA172" s="64" t="e">
        <f t="shared" si="22"/>
        <v>#N/A</v>
      </c>
      <c r="AC172" s="64" t="s">
        <v>1230</v>
      </c>
      <c r="AD172" s="64">
        <v>953.5</v>
      </c>
      <c r="AH172" s="64" t="e">
        <f t="shared" si="23"/>
        <v>#N/A</v>
      </c>
      <c r="AR172" s="64">
        <f>AS172*2207413/I172</f>
        <v>1050.9989049183448</v>
      </c>
      <c r="AS172" s="64">
        <f t="shared" si="24"/>
        <v>2</v>
      </c>
    </row>
    <row r="173" spans="1:45" s="64" customFormat="1" ht="36" customHeight="1" x14ac:dyDescent="0.9">
      <c r="A173" s="64">
        <v>1</v>
      </c>
      <c r="B173" s="92">
        <f>SUBTOTAL(103,$A$16:A173)</f>
        <v>156</v>
      </c>
      <c r="C173" s="91" t="s">
        <v>1187</v>
      </c>
      <c r="D173" s="126">
        <v>1963</v>
      </c>
      <c r="E173" s="126"/>
      <c r="F173" s="145" t="s">
        <v>273</v>
      </c>
      <c r="G173" s="126">
        <v>4</v>
      </c>
      <c r="H173" s="126">
        <v>4</v>
      </c>
      <c r="I173" s="118">
        <v>2581.1</v>
      </c>
      <c r="J173" s="118">
        <v>2477.4</v>
      </c>
      <c r="K173" s="118">
        <v>2303.4</v>
      </c>
      <c r="L173" s="127">
        <v>110</v>
      </c>
      <c r="M173" s="126" t="s">
        <v>271</v>
      </c>
      <c r="N173" s="126" t="s">
        <v>275</v>
      </c>
      <c r="O173" s="124" t="s">
        <v>1018</v>
      </c>
      <c r="P173" s="118">
        <v>3186819.12</v>
      </c>
      <c r="Q173" s="118">
        <v>0</v>
      </c>
      <c r="R173" s="118">
        <v>0</v>
      </c>
      <c r="S173" s="118">
        <f t="shared" si="25"/>
        <v>3186819.12</v>
      </c>
      <c r="T173" s="118">
        <f t="shared" si="19"/>
        <v>1234.6747975669289</v>
      </c>
      <c r="U173" s="118">
        <v>2753.19</v>
      </c>
      <c r="V173" s="183">
        <f t="shared" si="20"/>
        <v>1518.5152024330712</v>
      </c>
      <c r="W173" s="183"/>
      <c r="X173" s="183"/>
      <c r="Y173" s="64" t="e">
        <f t="shared" si="21"/>
        <v>#N/A</v>
      </c>
      <c r="AA173" s="64" t="e">
        <f t="shared" si="22"/>
        <v>#N/A</v>
      </c>
      <c r="AC173" s="64" t="s">
        <v>1238</v>
      </c>
      <c r="AD173" s="64">
        <v>738.92</v>
      </c>
      <c r="AH173" s="64" t="e">
        <f t="shared" si="23"/>
        <v>#N/A</v>
      </c>
      <c r="AS173" s="64" t="e">
        <f t="shared" si="24"/>
        <v>#N/A</v>
      </c>
    </row>
    <row r="174" spans="1:45" s="64" customFormat="1" ht="36" customHeight="1" x14ac:dyDescent="0.9">
      <c r="A174" s="64">
        <v>1</v>
      </c>
      <c r="B174" s="92">
        <f>SUBTOTAL(103,$A$16:A174)</f>
        <v>157</v>
      </c>
      <c r="C174" s="91" t="s">
        <v>1188</v>
      </c>
      <c r="D174" s="126">
        <v>1959</v>
      </c>
      <c r="E174" s="126"/>
      <c r="F174" s="145" t="s">
        <v>273</v>
      </c>
      <c r="G174" s="126">
        <v>2</v>
      </c>
      <c r="H174" s="126">
        <v>2</v>
      </c>
      <c r="I174" s="118">
        <v>598.02</v>
      </c>
      <c r="J174" s="118">
        <v>552.82000000000005</v>
      </c>
      <c r="K174" s="118">
        <v>452.65</v>
      </c>
      <c r="L174" s="127">
        <v>31</v>
      </c>
      <c r="M174" s="126" t="s">
        <v>271</v>
      </c>
      <c r="N174" s="126" t="s">
        <v>275</v>
      </c>
      <c r="O174" s="124" t="s">
        <v>336</v>
      </c>
      <c r="P174" s="118">
        <v>2447747.04</v>
      </c>
      <c r="Q174" s="118">
        <v>0</v>
      </c>
      <c r="R174" s="118">
        <v>0</v>
      </c>
      <c r="S174" s="118">
        <f t="shared" si="25"/>
        <v>2447747.04</v>
      </c>
      <c r="T174" s="118">
        <f t="shared" si="19"/>
        <v>4093.085582421993</v>
      </c>
      <c r="U174" s="118">
        <f>Y174</f>
        <v>4165.0757499749179</v>
      </c>
      <c r="V174" s="183">
        <f t="shared" si="20"/>
        <v>71.990167552924959</v>
      </c>
      <c r="W174" s="183"/>
      <c r="X174" s="183"/>
      <c r="Y174" s="64">
        <f t="shared" si="21"/>
        <v>4165.0757499749179</v>
      </c>
      <c r="AA174" s="64">
        <f t="shared" si="22"/>
        <v>477</v>
      </c>
      <c r="AC174" s="64" t="s">
        <v>1590</v>
      </c>
      <c r="AD174" s="64">
        <v>275.39999999999998</v>
      </c>
      <c r="AH174" s="64" t="e">
        <f t="shared" si="23"/>
        <v>#N/A</v>
      </c>
      <c r="AS174" s="64" t="e">
        <f t="shared" si="24"/>
        <v>#N/A</v>
      </c>
    </row>
    <row r="175" spans="1:45" s="64" customFormat="1" ht="36" customHeight="1" x14ac:dyDescent="0.9">
      <c r="A175" s="64">
        <v>1</v>
      </c>
      <c r="B175" s="92">
        <f>SUBTOTAL(103,$A$16:A175)</f>
        <v>158</v>
      </c>
      <c r="C175" s="91" t="s">
        <v>1189</v>
      </c>
      <c r="D175" s="126">
        <v>1959</v>
      </c>
      <c r="E175" s="126"/>
      <c r="F175" s="145" t="s">
        <v>273</v>
      </c>
      <c r="G175" s="126">
        <v>4</v>
      </c>
      <c r="H175" s="126">
        <v>2</v>
      </c>
      <c r="I175" s="118">
        <v>1378.3</v>
      </c>
      <c r="J175" s="118">
        <v>1280.9000000000001</v>
      </c>
      <c r="K175" s="118">
        <v>1171.7</v>
      </c>
      <c r="L175" s="127">
        <v>83</v>
      </c>
      <c r="M175" s="126" t="s">
        <v>271</v>
      </c>
      <c r="N175" s="126" t="s">
        <v>275</v>
      </c>
      <c r="O175" s="124" t="s">
        <v>336</v>
      </c>
      <c r="P175" s="118">
        <v>464475.87</v>
      </c>
      <c r="Q175" s="118">
        <v>0</v>
      </c>
      <c r="R175" s="118">
        <v>0</v>
      </c>
      <c r="S175" s="118">
        <f t="shared" si="25"/>
        <v>464475.87</v>
      </c>
      <c r="T175" s="118">
        <f t="shared" si="19"/>
        <v>336.99185228179641</v>
      </c>
      <c r="U175" s="118">
        <v>673.78</v>
      </c>
      <c r="V175" s="183">
        <f t="shared" si="20"/>
        <v>336.78814771820356</v>
      </c>
      <c r="W175" s="183"/>
      <c r="X175" s="183"/>
      <c r="Y175" s="64" t="e">
        <f t="shared" si="21"/>
        <v>#N/A</v>
      </c>
      <c r="AA175" s="64" t="e">
        <f t="shared" si="22"/>
        <v>#N/A</v>
      </c>
      <c r="AC175" s="64" t="s">
        <v>1600</v>
      </c>
      <c r="AD175" s="64">
        <v>344.5</v>
      </c>
      <c r="AH175" s="64" t="e">
        <f t="shared" si="23"/>
        <v>#N/A</v>
      </c>
      <c r="AS175" s="64" t="e">
        <f t="shared" si="24"/>
        <v>#N/A</v>
      </c>
    </row>
    <row r="176" spans="1:45" s="64" customFormat="1" ht="36" customHeight="1" x14ac:dyDescent="0.9">
      <c r="A176" s="64">
        <v>1</v>
      </c>
      <c r="B176" s="92">
        <f>SUBTOTAL(103,$A$16:A176)</f>
        <v>159</v>
      </c>
      <c r="C176" s="91" t="s">
        <v>1190</v>
      </c>
      <c r="D176" s="126">
        <v>1963</v>
      </c>
      <c r="E176" s="126"/>
      <c r="F176" s="145" t="s">
        <v>273</v>
      </c>
      <c r="G176" s="126">
        <v>2</v>
      </c>
      <c r="H176" s="126">
        <v>2</v>
      </c>
      <c r="I176" s="118">
        <v>672.43</v>
      </c>
      <c r="J176" s="118">
        <v>623.04</v>
      </c>
      <c r="K176" s="118">
        <v>623.04</v>
      </c>
      <c r="L176" s="127">
        <v>42</v>
      </c>
      <c r="M176" s="126" t="s">
        <v>271</v>
      </c>
      <c r="N176" s="126" t="s">
        <v>275</v>
      </c>
      <c r="O176" s="124" t="s">
        <v>334</v>
      </c>
      <c r="P176" s="118">
        <v>198184.86</v>
      </c>
      <c r="Q176" s="118">
        <v>0</v>
      </c>
      <c r="R176" s="118">
        <v>0</v>
      </c>
      <c r="S176" s="118">
        <f t="shared" si="25"/>
        <v>198184.86</v>
      </c>
      <c r="T176" s="118">
        <f t="shared" si="19"/>
        <v>294.72935472837321</v>
      </c>
      <c r="U176" s="118">
        <f>T176</f>
        <v>294.72935472837321</v>
      </c>
      <c r="V176" s="183">
        <f t="shared" si="20"/>
        <v>0</v>
      </c>
      <c r="W176" s="183"/>
      <c r="X176" s="183"/>
      <c r="Y176" s="64" t="e">
        <f t="shared" si="21"/>
        <v>#N/A</v>
      </c>
      <c r="AA176" s="64" t="e">
        <f t="shared" si="22"/>
        <v>#N/A</v>
      </c>
      <c r="AC176" s="64" t="s">
        <v>236</v>
      </c>
      <c r="AD176" s="64">
        <v>318.7</v>
      </c>
      <c r="AH176" s="64" t="e">
        <f t="shared" si="23"/>
        <v>#N/A</v>
      </c>
      <c r="AS176" s="64" t="e">
        <f t="shared" si="24"/>
        <v>#N/A</v>
      </c>
    </row>
    <row r="177" spans="1:45" s="64" customFormat="1" ht="36" customHeight="1" x14ac:dyDescent="0.9">
      <c r="A177" s="64">
        <v>1</v>
      </c>
      <c r="B177" s="92">
        <f>SUBTOTAL(103,$A$16:A177)</f>
        <v>160</v>
      </c>
      <c r="C177" s="91" t="s">
        <v>1191</v>
      </c>
      <c r="D177" s="126">
        <v>1989</v>
      </c>
      <c r="E177" s="126"/>
      <c r="F177" s="145" t="s">
        <v>273</v>
      </c>
      <c r="G177" s="126">
        <v>9</v>
      </c>
      <c r="H177" s="126">
        <v>1</v>
      </c>
      <c r="I177" s="118">
        <v>4090.1</v>
      </c>
      <c r="J177" s="118">
        <v>3277.11</v>
      </c>
      <c r="K177" s="118">
        <v>3277.11</v>
      </c>
      <c r="L177" s="127">
        <v>159</v>
      </c>
      <c r="M177" s="126" t="s">
        <v>271</v>
      </c>
      <c r="N177" s="126" t="s">
        <v>275</v>
      </c>
      <c r="O177" s="124" t="s">
        <v>1371</v>
      </c>
      <c r="P177" s="118">
        <v>1640571.49</v>
      </c>
      <c r="Q177" s="118">
        <v>0</v>
      </c>
      <c r="R177" s="118">
        <v>0</v>
      </c>
      <c r="S177" s="118">
        <f t="shared" si="25"/>
        <v>1640571.49</v>
      </c>
      <c r="T177" s="118">
        <f t="shared" si="19"/>
        <v>401.10791667685385</v>
      </c>
      <c r="U177" s="118">
        <f>AR177</f>
        <v>539.69658443558842</v>
      </c>
      <c r="V177" s="183">
        <f t="shared" si="20"/>
        <v>138.58866775873457</v>
      </c>
      <c r="W177" s="183"/>
      <c r="X177" s="183"/>
      <c r="Y177" s="64" t="e">
        <f t="shared" si="21"/>
        <v>#N/A</v>
      </c>
      <c r="AA177" s="64" t="e">
        <f t="shared" si="22"/>
        <v>#N/A</v>
      </c>
      <c r="AC177" s="64" t="s">
        <v>241</v>
      </c>
      <c r="AD177" s="64">
        <v>464.3</v>
      </c>
      <c r="AH177" s="64" t="e">
        <f t="shared" si="23"/>
        <v>#N/A</v>
      </c>
      <c r="AR177" s="64">
        <f>AS177*2207413/I177</f>
        <v>539.69658443558842</v>
      </c>
      <c r="AS177" s="64">
        <f t="shared" si="24"/>
        <v>1</v>
      </c>
    </row>
    <row r="178" spans="1:45" s="64" customFormat="1" ht="36" customHeight="1" x14ac:dyDescent="0.9">
      <c r="A178" s="64">
        <v>1</v>
      </c>
      <c r="B178" s="92">
        <f>SUBTOTAL(103,$A$16:A178)</f>
        <v>161</v>
      </c>
      <c r="C178" s="91" t="s">
        <v>1192</v>
      </c>
      <c r="D178" s="126">
        <v>1992</v>
      </c>
      <c r="E178" s="126"/>
      <c r="F178" s="145" t="s">
        <v>273</v>
      </c>
      <c r="G178" s="126">
        <v>9</v>
      </c>
      <c r="H178" s="126">
        <v>1</v>
      </c>
      <c r="I178" s="118">
        <v>3107.8</v>
      </c>
      <c r="J178" s="118">
        <v>2755.2</v>
      </c>
      <c r="K178" s="118">
        <v>2755.2</v>
      </c>
      <c r="L178" s="127">
        <v>117</v>
      </c>
      <c r="M178" s="126" t="s">
        <v>271</v>
      </c>
      <c r="N178" s="126" t="s">
        <v>275</v>
      </c>
      <c r="O178" s="124" t="s">
        <v>1372</v>
      </c>
      <c r="P178" s="118">
        <v>1784450.96</v>
      </c>
      <c r="Q178" s="118">
        <v>0</v>
      </c>
      <c r="R178" s="118">
        <v>0</v>
      </c>
      <c r="S178" s="118">
        <f t="shared" si="25"/>
        <v>1784450.96</v>
      </c>
      <c r="T178" s="118">
        <f t="shared" si="19"/>
        <v>574.18461934487414</v>
      </c>
      <c r="U178" s="118">
        <f>AR178</f>
        <v>710.28154964926955</v>
      </c>
      <c r="V178" s="183">
        <f t="shared" si="20"/>
        <v>136.09693030439541</v>
      </c>
      <c r="W178" s="183"/>
      <c r="X178" s="183"/>
      <c r="Y178" s="64" t="e">
        <f t="shared" si="21"/>
        <v>#N/A</v>
      </c>
      <c r="AA178" s="64" t="e">
        <f t="shared" si="22"/>
        <v>#N/A</v>
      </c>
      <c r="AC178" s="64" t="s">
        <v>242</v>
      </c>
      <c r="AD178" s="64">
        <v>271</v>
      </c>
      <c r="AH178" s="64" t="e">
        <f t="shared" si="23"/>
        <v>#N/A</v>
      </c>
      <c r="AR178" s="64">
        <f>AS178*2207413/I178</f>
        <v>710.28154964926955</v>
      </c>
      <c r="AS178" s="64">
        <f t="shared" si="24"/>
        <v>1</v>
      </c>
    </row>
    <row r="179" spans="1:45" s="64" customFormat="1" ht="36" customHeight="1" x14ac:dyDescent="0.9">
      <c r="A179" s="64">
        <v>1</v>
      </c>
      <c r="B179" s="92">
        <f>SUBTOTAL(103,$A$16:A179)</f>
        <v>162</v>
      </c>
      <c r="C179" s="91" t="s">
        <v>1193</v>
      </c>
      <c r="D179" s="126">
        <v>1992</v>
      </c>
      <c r="E179" s="126"/>
      <c r="F179" s="145" t="s">
        <v>319</v>
      </c>
      <c r="G179" s="126">
        <v>9</v>
      </c>
      <c r="H179" s="126">
        <v>4</v>
      </c>
      <c r="I179" s="118">
        <v>8440.4</v>
      </c>
      <c r="J179" s="118">
        <v>7673.5</v>
      </c>
      <c r="K179" s="118">
        <v>7237.9</v>
      </c>
      <c r="L179" s="127">
        <v>308</v>
      </c>
      <c r="M179" s="126" t="s">
        <v>271</v>
      </c>
      <c r="N179" s="126" t="s">
        <v>275</v>
      </c>
      <c r="O179" s="124" t="s">
        <v>1373</v>
      </c>
      <c r="P179" s="118">
        <v>6364982.3099999996</v>
      </c>
      <c r="Q179" s="118">
        <v>0</v>
      </c>
      <c r="R179" s="118">
        <v>0</v>
      </c>
      <c r="S179" s="118">
        <f t="shared" si="25"/>
        <v>6364982.3099999996</v>
      </c>
      <c r="T179" s="118">
        <f t="shared" si="19"/>
        <v>754.10908369271601</v>
      </c>
      <c r="U179" s="118">
        <f>AR179</f>
        <v>1046.1177195393584</v>
      </c>
      <c r="V179" s="183">
        <f t="shared" si="20"/>
        <v>292.00863584664239</v>
      </c>
      <c r="W179" s="183"/>
      <c r="X179" s="183"/>
      <c r="Y179" s="64" t="e">
        <f t="shared" si="21"/>
        <v>#N/A</v>
      </c>
      <c r="AA179" s="64" t="e">
        <f t="shared" si="22"/>
        <v>#N/A</v>
      </c>
      <c r="AC179" s="64" t="s">
        <v>237</v>
      </c>
      <c r="AD179" s="64">
        <v>209.18</v>
      </c>
      <c r="AH179" s="64" t="e">
        <f t="shared" si="23"/>
        <v>#N/A</v>
      </c>
      <c r="AR179" s="64">
        <f>AS179*2207413/I179</f>
        <v>1046.1177195393584</v>
      </c>
      <c r="AS179" s="64">
        <f t="shared" si="24"/>
        <v>4</v>
      </c>
    </row>
    <row r="180" spans="1:45" s="64" customFormat="1" ht="36" customHeight="1" x14ac:dyDescent="0.9">
      <c r="A180" s="64">
        <v>1</v>
      </c>
      <c r="B180" s="92">
        <f>SUBTOTAL(103,$A$16:A180)</f>
        <v>163</v>
      </c>
      <c r="C180" s="91" t="s">
        <v>1310</v>
      </c>
      <c r="D180" s="126">
        <v>1968</v>
      </c>
      <c r="E180" s="126"/>
      <c r="F180" s="145" t="s">
        <v>273</v>
      </c>
      <c r="G180" s="126">
        <v>5</v>
      </c>
      <c r="H180" s="126">
        <v>4</v>
      </c>
      <c r="I180" s="118">
        <v>3571.09</v>
      </c>
      <c r="J180" s="118">
        <v>3241.39</v>
      </c>
      <c r="K180" s="118">
        <v>3219.99</v>
      </c>
      <c r="L180" s="127">
        <v>154</v>
      </c>
      <c r="M180" s="126" t="s">
        <v>271</v>
      </c>
      <c r="N180" s="126" t="s">
        <v>275</v>
      </c>
      <c r="O180" s="124" t="s">
        <v>335</v>
      </c>
      <c r="P180" s="118">
        <v>2620013.62</v>
      </c>
      <c r="Q180" s="118">
        <v>0</v>
      </c>
      <c r="R180" s="118">
        <v>0</v>
      </c>
      <c r="S180" s="118">
        <f t="shared" si="25"/>
        <v>2620013.62</v>
      </c>
      <c r="T180" s="118">
        <f t="shared" si="19"/>
        <v>733.6733658350812</v>
      </c>
      <c r="U180" s="118">
        <v>2753.19</v>
      </c>
      <c r="V180" s="183">
        <f t="shared" si="20"/>
        <v>2019.5166341649187</v>
      </c>
      <c r="W180" s="183"/>
      <c r="X180" s="183"/>
      <c r="Y180" s="64" t="e">
        <f t="shared" si="21"/>
        <v>#N/A</v>
      </c>
      <c r="AA180" s="64" t="e">
        <f t="shared" si="22"/>
        <v>#N/A</v>
      </c>
      <c r="AC180" s="64" t="s">
        <v>244</v>
      </c>
      <c r="AD180" s="64">
        <v>539.4</v>
      </c>
      <c r="AH180" s="64" t="e">
        <f t="shared" si="23"/>
        <v>#N/A</v>
      </c>
      <c r="AS180" s="64" t="e">
        <f t="shared" si="24"/>
        <v>#N/A</v>
      </c>
    </row>
    <row r="181" spans="1:45" s="64" customFormat="1" ht="36" customHeight="1" x14ac:dyDescent="0.9">
      <c r="A181" s="64">
        <v>1</v>
      </c>
      <c r="B181" s="92">
        <f>SUBTOTAL(103,$A$16:A181)</f>
        <v>164</v>
      </c>
      <c r="C181" s="91" t="s">
        <v>1323</v>
      </c>
      <c r="D181" s="126">
        <v>1958</v>
      </c>
      <c r="E181" s="126"/>
      <c r="F181" s="145" t="s">
        <v>273</v>
      </c>
      <c r="G181" s="126">
        <v>4</v>
      </c>
      <c r="H181" s="126">
        <v>4</v>
      </c>
      <c r="I181" s="118">
        <v>5856.4</v>
      </c>
      <c r="J181" s="118">
        <v>3235.1</v>
      </c>
      <c r="K181" s="118">
        <v>3073.4</v>
      </c>
      <c r="L181" s="127">
        <v>86</v>
      </c>
      <c r="M181" s="126" t="s">
        <v>271</v>
      </c>
      <c r="N181" s="126" t="s">
        <v>275</v>
      </c>
      <c r="O181" s="124" t="s">
        <v>1385</v>
      </c>
      <c r="P181" s="118">
        <v>13429838.609999999</v>
      </c>
      <c r="Q181" s="118">
        <v>0</v>
      </c>
      <c r="R181" s="118">
        <v>0</v>
      </c>
      <c r="S181" s="118">
        <f t="shared" si="25"/>
        <v>13429838.609999999</v>
      </c>
      <c r="T181" s="118">
        <f t="shared" si="19"/>
        <v>2293.1901185028346</v>
      </c>
      <c r="U181" s="118">
        <f>AG181</f>
        <v>4830.3575654539272</v>
      </c>
      <c r="V181" s="183">
        <f t="shared" si="20"/>
        <v>2537.1674469510926</v>
      </c>
      <c r="W181" s="183"/>
      <c r="X181" s="183"/>
      <c r="Y181" s="64" t="e">
        <f t="shared" si="21"/>
        <v>#N/A</v>
      </c>
      <c r="AA181" s="64" t="e">
        <f t="shared" si="22"/>
        <v>#N/A</v>
      </c>
      <c r="AC181" s="64" t="s">
        <v>1246</v>
      </c>
      <c r="AD181" s="64">
        <v>374.3</v>
      </c>
      <c r="AG181" s="64">
        <f>AH181*6191.24/J181</f>
        <v>4830.3575654539272</v>
      </c>
      <c r="AH181" s="64">
        <f t="shared" si="23"/>
        <v>2524</v>
      </c>
      <c r="AS181" s="64" t="e">
        <f t="shared" si="24"/>
        <v>#N/A</v>
      </c>
    </row>
    <row r="182" spans="1:45" s="64" customFormat="1" ht="36" customHeight="1" x14ac:dyDescent="0.9">
      <c r="A182" s="64">
        <v>1</v>
      </c>
      <c r="B182" s="92">
        <f>SUBTOTAL(103,$A$16:A182)</f>
        <v>165</v>
      </c>
      <c r="C182" s="91" t="s">
        <v>1324</v>
      </c>
      <c r="D182" s="126">
        <v>1968</v>
      </c>
      <c r="E182" s="126"/>
      <c r="F182" s="145" t="s">
        <v>273</v>
      </c>
      <c r="G182" s="126">
        <v>2</v>
      </c>
      <c r="H182" s="126">
        <v>2</v>
      </c>
      <c r="I182" s="118">
        <v>610.4</v>
      </c>
      <c r="J182" s="118">
        <v>567</v>
      </c>
      <c r="K182" s="118">
        <v>458.2</v>
      </c>
      <c r="L182" s="127">
        <v>29</v>
      </c>
      <c r="M182" s="126" t="s">
        <v>271</v>
      </c>
      <c r="N182" s="126" t="s">
        <v>275</v>
      </c>
      <c r="O182" s="124" t="s">
        <v>1385</v>
      </c>
      <c r="P182" s="118">
        <v>3225967.09</v>
      </c>
      <c r="Q182" s="118">
        <v>0</v>
      </c>
      <c r="R182" s="118">
        <v>0</v>
      </c>
      <c r="S182" s="118">
        <f t="shared" si="25"/>
        <v>3225967.09</v>
      </c>
      <c r="T182" s="118">
        <f t="shared" si="19"/>
        <v>5285.0050622542594</v>
      </c>
      <c r="U182" s="118">
        <f>T182</f>
        <v>5285.0050622542594</v>
      </c>
      <c r="V182" s="183">
        <f t="shared" si="20"/>
        <v>0</v>
      </c>
      <c r="W182" s="183"/>
      <c r="X182" s="183"/>
      <c r="Y182" s="64">
        <f t="shared" si="21"/>
        <v>5047.2837483617304</v>
      </c>
      <c r="AA182" s="64">
        <f t="shared" si="22"/>
        <v>590</v>
      </c>
      <c r="AC182" s="64" t="s">
        <v>1583</v>
      </c>
      <c r="AD182" s="64">
        <v>329.1</v>
      </c>
      <c r="AH182" s="64" t="e">
        <f t="shared" si="23"/>
        <v>#N/A</v>
      </c>
      <c r="AS182" s="64" t="e">
        <f t="shared" si="24"/>
        <v>#N/A</v>
      </c>
    </row>
    <row r="183" spans="1:45" s="64" customFormat="1" ht="36" customHeight="1" x14ac:dyDescent="0.9">
      <c r="A183" s="64">
        <v>1</v>
      </c>
      <c r="B183" s="92">
        <f>SUBTOTAL(103,$A$16:A183)</f>
        <v>166</v>
      </c>
      <c r="C183" s="91" t="s">
        <v>1325</v>
      </c>
      <c r="D183" s="126">
        <v>1958</v>
      </c>
      <c r="E183" s="126"/>
      <c r="F183" s="145" t="s">
        <v>273</v>
      </c>
      <c r="G183" s="126">
        <v>2</v>
      </c>
      <c r="H183" s="126">
        <v>2</v>
      </c>
      <c r="I183" s="118">
        <v>822.2</v>
      </c>
      <c r="J183" s="118">
        <v>822.2</v>
      </c>
      <c r="K183" s="118">
        <v>771.5</v>
      </c>
      <c r="L183" s="127">
        <v>22</v>
      </c>
      <c r="M183" s="126" t="s">
        <v>271</v>
      </c>
      <c r="N183" s="126" t="s">
        <v>275</v>
      </c>
      <c r="O183" s="124" t="s">
        <v>1385</v>
      </c>
      <c r="P183" s="118">
        <v>3630290.9</v>
      </c>
      <c r="Q183" s="118">
        <v>0</v>
      </c>
      <c r="R183" s="118">
        <v>0</v>
      </c>
      <c r="S183" s="118">
        <f t="shared" si="25"/>
        <v>3630290.9</v>
      </c>
      <c r="T183" s="118">
        <f t="shared" si="19"/>
        <v>4415.3379956215031</v>
      </c>
      <c r="U183" s="118">
        <f>T183</f>
        <v>4415.3379956215031</v>
      </c>
      <c r="V183" s="183">
        <f t="shared" si="20"/>
        <v>0</v>
      </c>
      <c r="W183" s="183"/>
      <c r="X183" s="183"/>
      <c r="Y183" s="64">
        <f t="shared" si="21"/>
        <v>4223.4213086840182</v>
      </c>
      <c r="AA183" s="64">
        <f t="shared" si="22"/>
        <v>665</v>
      </c>
      <c r="AC183" s="64" t="s">
        <v>1584</v>
      </c>
      <c r="AD183" s="64">
        <v>611</v>
      </c>
      <c r="AH183" s="64" t="e">
        <f t="shared" si="23"/>
        <v>#N/A</v>
      </c>
      <c r="AS183" s="64" t="e">
        <f t="shared" si="24"/>
        <v>#N/A</v>
      </c>
    </row>
    <row r="184" spans="1:45" s="64" customFormat="1" ht="36" customHeight="1" x14ac:dyDescent="0.9">
      <c r="A184" s="64">
        <v>1</v>
      </c>
      <c r="B184" s="92">
        <f>SUBTOTAL(103,$A$16:A184)</f>
        <v>167</v>
      </c>
      <c r="C184" s="91" t="s">
        <v>1326</v>
      </c>
      <c r="D184" s="126">
        <v>1959</v>
      </c>
      <c r="E184" s="126"/>
      <c r="F184" s="145" t="s">
        <v>273</v>
      </c>
      <c r="G184" s="126">
        <v>2</v>
      </c>
      <c r="H184" s="126">
        <v>1</v>
      </c>
      <c r="I184" s="118">
        <v>310.3</v>
      </c>
      <c r="J184" s="118">
        <v>310.3</v>
      </c>
      <c r="K184" s="118">
        <v>270.3</v>
      </c>
      <c r="L184" s="127">
        <v>10</v>
      </c>
      <c r="M184" s="126" t="s">
        <v>271</v>
      </c>
      <c r="N184" s="126" t="s">
        <v>275</v>
      </c>
      <c r="O184" s="124" t="s">
        <v>1385</v>
      </c>
      <c r="P184" s="118">
        <v>1304313.1599999999</v>
      </c>
      <c r="Q184" s="118">
        <v>0</v>
      </c>
      <c r="R184" s="118">
        <v>0</v>
      </c>
      <c r="S184" s="118">
        <f t="shared" si="25"/>
        <v>1304313.1599999999</v>
      </c>
      <c r="T184" s="118">
        <f t="shared" si="19"/>
        <v>4203.3940058008375</v>
      </c>
      <c r="U184" s="118">
        <f>T184</f>
        <v>4203.3940058008375</v>
      </c>
      <c r="V184" s="183">
        <f t="shared" si="20"/>
        <v>0</v>
      </c>
      <c r="W184" s="183"/>
      <c r="X184" s="183"/>
      <c r="Y184" s="64">
        <f t="shared" si="21"/>
        <v>4139.7447631324521</v>
      </c>
      <c r="AA184" s="64">
        <f t="shared" si="22"/>
        <v>246</v>
      </c>
      <c r="AC184" s="64" t="s">
        <v>1598</v>
      </c>
      <c r="AD184" s="64">
        <v>606</v>
      </c>
      <c r="AH184" s="64" t="e">
        <f t="shared" si="23"/>
        <v>#N/A</v>
      </c>
      <c r="AS184" s="64" t="e">
        <f t="shared" si="24"/>
        <v>#N/A</v>
      </c>
    </row>
    <row r="185" spans="1:45" s="64" customFormat="1" ht="36" customHeight="1" x14ac:dyDescent="0.9">
      <c r="A185" s="64">
        <v>1</v>
      </c>
      <c r="B185" s="92">
        <f>SUBTOTAL(103,$A$16:A185)</f>
        <v>168</v>
      </c>
      <c r="C185" s="91" t="s">
        <v>1327</v>
      </c>
      <c r="D185" s="126">
        <v>1959</v>
      </c>
      <c r="E185" s="126"/>
      <c r="F185" s="145" t="s">
        <v>273</v>
      </c>
      <c r="G185" s="126">
        <v>2</v>
      </c>
      <c r="H185" s="126">
        <v>1</v>
      </c>
      <c r="I185" s="118">
        <v>287</v>
      </c>
      <c r="J185" s="118">
        <v>287</v>
      </c>
      <c r="K185" s="118">
        <v>158.19999999999999</v>
      </c>
      <c r="L185" s="127">
        <v>18</v>
      </c>
      <c r="M185" s="126" t="s">
        <v>271</v>
      </c>
      <c r="N185" s="126" t="s">
        <v>272</v>
      </c>
      <c r="O185" s="124" t="s">
        <v>274</v>
      </c>
      <c r="P185" s="118">
        <v>1345217.39</v>
      </c>
      <c r="Q185" s="118">
        <v>0</v>
      </c>
      <c r="R185" s="118">
        <v>0</v>
      </c>
      <c r="S185" s="118">
        <f t="shared" si="25"/>
        <v>1345217.39</v>
      </c>
      <c r="T185" s="118">
        <f t="shared" si="19"/>
        <v>4687.1686062717763</v>
      </c>
      <c r="U185" s="118">
        <f>T185</f>
        <v>4687.1686062717763</v>
      </c>
      <c r="V185" s="183">
        <f t="shared" si="20"/>
        <v>0</v>
      </c>
      <c r="W185" s="183"/>
      <c r="X185" s="183"/>
      <c r="Y185" s="64">
        <f t="shared" si="21"/>
        <v>4603.1895470383279</v>
      </c>
      <c r="AA185" s="64">
        <f t="shared" si="22"/>
        <v>253</v>
      </c>
      <c r="AC185" s="64" t="s">
        <v>1599</v>
      </c>
      <c r="AD185" s="64">
        <v>592.07000000000005</v>
      </c>
      <c r="AH185" s="64" t="e">
        <f t="shared" si="23"/>
        <v>#N/A</v>
      </c>
      <c r="AS185" s="64" t="e">
        <f t="shared" si="24"/>
        <v>#N/A</v>
      </c>
    </row>
    <row r="186" spans="1:45" s="64" customFormat="1" ht="36" customHeight="1" x14ac:dyDescent="0.9">
      <c r="A186" s="64">
        <v>1</v>
      </c>
      <c r="B186" s="92">
        <f>SUBTOTAL(103,$A$16:A186)</f>
        <v>169</v>
      </c>
      <c r="C186" s="91" t="s">
        <v>1601</v>
      </c>
      <c r="D186" s="126">
        <v>1952</v>
      </c>
      <c r="E186" s="126"/>
      <c r="F186" s="145" t="s">
        <v>1374</v>
      </c>
      <c r="G186" s="126">
        <v>2</v>
      </c>
      <c r="H186" s="126">
        <v>2</v>
      </c>
      <c r="I186" s="118">
        <v>644.12</v>
      </c>
      <c r="J186" s="118">
        <v>596.87</v>
      </c>
      <c r="K186" s="118">
        <v>495.28</v>
      </c>
      <c r="L186" s="127">
        <v>30</v>
      </c>
      <c r="M186" s="126" t="s">
        <v>271</v>
      </c>
      <c r="N186" s="126" t="s">
        <v>275</v>
      </c>
      <c r="O186" s="124" t="s">
        <v>1627</v>
      </c>
      <c r="P186" s="118">
        <v>2365849.39</v>
      </c>
      <c r="Q186" s="118">
        <v>0</v>
      </c>
      <c r="R186" s="118">
        <v>0</v>
      </c>
      <c r="S186" s="118">
        <f>P186-R186-Q186</f>
        <v>2365849.39</v>
      </c>
      <c r="T186" s="118">
        <f t="shared" si="19"/>
        <v>3672.994768055642</v>
      </c>
      <c r="U186" s="118">
        <f>Y186</f>
        <v>6420.6446003850215</v>
      </c>
      <c r="V186" s="183">
        <f t="shared" si="20"/>
        <v>2747.6498323293795</v>
      </c>
      <c r="W186" s="183"/>
      <c r="X186" s="183"/>
      <c r="Y186" s="64">
        <f t="shared" si="21"/>
        <v>6420.6446003850215</v>
      </c>
      <c r="AA186" s="64">
        <f t="shared" si="22"/>
        <v>792</v>
      </c>
      <c r="AC186" s="64" t="s">
        <v>1585</v>
      </c>
      <c r="AD186" s="64">
        <v>249</v>
      </c>
      <c r="AH186" s="64" t="e">
        <f t="shared" si="23"/>
        <v>#N/A</v>
      </c>
      <c r="AS186" s="64" t="e">
        <f t="shared" si="24"/>
        <v>#N/A</v>
      </c>
    </row>
    <row r="187" spans="1:45" s="64" customFormat="1" ht="36" customHeight="1" x14ac:dyDescent="0.9">
      <c r="A187" s="64">
        <v>1</v>
      </c>
      <c r="B187" s="92">
        <f>SUBTOTAL(103,$A$16:A187)</f>
        <v>170</v>
      </c>
      <c r="C187" s="91" t="s">
        <v>1613</v>
      </c>
      <c r="D187" s="126">
        <v>1940</v>
      </c>
      <c r="E187" s="126"/>
      <c r="F187" s="145" t="s">
        <v>319</v>
      </c>
      <c r="G187" s="126">
        <v>2</v>
      </c>
      <c r="H187" s="126">
        <v>2</v>
      </c>
      <c r="I187" s="118">
        <v>733.2</v>
      </c>
      <c r="J187" s="118">
        <v>662.54</v>
      </c>
      <c r="K187" s="118">
        <v>662.54</v>
      </c>
      <c r="L187" s="127">
        <v>22</v>
      </c>
      <c r="M187" s="126" t="s">
        <v>271</v>
      </c>
      <c r="N187" s="126" t="s">
        <v>275</v>
      </c>
      <c r="O187" s="124" t="s">
        <v>335</v>
      </c>
      <c r="P187" s="118">
        <v>2591543.84</v>
      </c>
      <c r="Q187" s="118">
        <v>0</v>
      </c>
      <c r="R187" s="118">
        <v>0</v>
      </c>
      <c r="S187" s="118">
        <f>P187-R187-Q187</f>
        <v>2591543.84</v>
      </c>
      <c r="T187" s="118">
        <f t="shared" si="19"/>
        <v>3534.5660665575556</v>
      </c>
      <c r="U187" s="118">
        <f>Y187</f>
        <v>3589.4533551554828</v>
      </c>
      <c r="V187" s="183">
        <f t="shared" si="20"/>
        <v>54.887288597927181</v>
      </c>
      <c r="W187" s="183"/>
      <c r="X187" s="183"/>
      <c r="Y187" s="64">
        <f t="shared" si="21"/>
        <v>3589.4533551554828</v>
      </c>
      <c r="AA187" s="64">
        <f t="shared" si="22"/>
        <v>504</v>
      </c>
      <c r="AC187" s="64" t="s">
        <v>1586</v>
      </c>
      <c r="AD187" s="64">
        <v>309</v>
      </c>
      <c r="AH187" s="64" t="e">
        <f t="shared" si="23"/>
        <v>#N/A</v>
      </c>
      <c r="AS187" s="64" t="e">
        <f t="shared" si="24"/>
        <v>#N/A</v>
      </c>
    </row>
    <row r="188" spans="1:45" s="64" customFormat="1" ht="36" customHeight="1" x14ac:dyDescent="0.9">
      <c r="A188" s="64">
        <v>1</v>
      </c>
      <c r="B188" s="92">
        <f>SUBTOTAL(103,$A$16:A188)</f>
        <v>171</v>
      </c>
      <c r="C188" s="91" t="s">
        <v>1614</v>
      </c>
      <c r="D188" s="126">
        <v>1968</v>
      </c>
      <c r="E188" s="126"/>
      <c r="F188" s="145" t="s">
        <v>273</v>
      </c>
      <c r="G188" s="126">
        <v>2</v>
      </c>
      <c r="H188" s="126">
        <v>2</v>
      </c>
      <c r="I188" s="117">
        <v>1033.42</v>
      </c>
      <c r="J188" s="118">
        <v>631.74</v>
      </c>
      <c r="K188" s="118">
        <v>592.34</v>
      </c>
      <c r="L188" s="127">
        <v>23</v>
      </c>
      <c r="M188" s="126" t="s">
        <v>271</v>
      </c>
      <c r="N188" s="126" t="s">
        <v>272</v>
      </c>
      <c r="O188" s="124" t="s">
        <v>274</v>
      </c>
      <c r="P188" s="118">
        <v>3249938.51</v>
      </c>
      <c r="Q188" s="118">
        <v>0</v>
      </c>
      <c r="R188" s="118">
        <v>0</v>
      </c>
      <c r="S188" s="118">
        <f>P188-R188-Q188</f>
        <v>3249938.51</v>
      </c>
      <c r="T188" s="118">
        <f t="shared" si="19"/>
        <v>3144.8380232625645</v>
      </c>
      <c r="U188" s="118">
        <f>Y188</f>
        <v>3183.3465580306165</v>
      </c>
      <c r="V188" s="183">
        <f t="shared" si="20"/>
        <v>38.508534768051959</v>
      </c>
      <c r="W188" s="183"/>
      <c r="X188" s="183"/>
      <c r="Y188" s="64">
        <f t="shared" si="21"/>
        <v>3183.3465580306165</v>
      </c>
      <c r="AA188" s="64">
        <f t="shared" si="22"/>
        <v>630</v>
      </c>
      <c r="AC188" s="64" t="s">
        <v>0</v>
      </c>
      <c r="AD188" s="64">
        <v>618.1</v>
      </c>
      <c r="AH188" s="64" t="e">
        <f t="shared" si="23"/>
        <v>#N/A</v>
      </c>
      <c r="AS188" s="64" t="e">
        <f t="shared" si="24"/>
        <v>#N/A</v>
      </c>
    </row>
    <row r="189" spans="1:45" s="64" customFormat="1" ht="36" customHeight="1" x14ac:dyDescent="0.9">
      <c r="A189" s="64">
        <v>1</v>
      </c>
      <c r="B189" s="92">
        <f>SUBTOTAL(103,$A$16:A189)</f>
        <v>172</v>
      </c>
      <c r="C189" s="91" t="s">
        <v>1644</v>
      </c>
      <c r="D189" s="126">
        <v>1986</v>
      </c>
      <c r="E189" s="126"/>
      <c r="F189" s="145" t="s">
        <v>326</v>
      </c>
      <c r="G189" s="126">
        <v>5</v>
      </c>
      <c r="H189" s="126">
        <v>4</v>
      </c>
      <c r="I189" s="118">
        <v>3118.5</v>
      </c>
      <c r="J189" s="118">
        <v>3068.7</v>
      </c>
      <c r="K189" s="118">
        <f>J189</f>
        <v>3068.7</v>
      </c>
      <c r="L189" s="127">
        <v>110</v>
      </c>
      <c r="M189" s="126" t="s">
        <v>271</v>
      </c>
      <c r="N189" s="126" t="s">
        <v>275</v>
      </c>
      <c r="O189" s="124" t="s">
        <v>1385</v>
      </c>
      <c r="P189" s="118">
        <v>9971798.8300000001</v>
      </c>
      <c r="Q189" s="118">
        <v>0</v>
      </c>
      <c r="R189" s="118">
        <v>0</v>
      </c>
      <c r="S189" s="118">
        <f>P189-Q189-R189</f>
        <v>9971798.8300000001</v>
      </c>
      <c r="T189" s="118">
        <f t="shared" si="19"/>
        <v>3197.626689113356</v>
      </c>
      <c r="U189" s="118">
        <f>T189</f>
        <v>3197.626689113356</v>
      </c>
      <c r="V189" s="183">
        <f t="shared" si="20"/>
        <v>0</v>
      </c>
      <c r="W189" s="183"/>
      <c r="X189" s="183"/>
      <c r="Y189" s="64">
        <f t="shared" si="21"/>
        <v>1383.1030303030302</v>
      </c>
      <c r="AA189" s="64">
        <f t="shared" si="22"/>
        <v>826</v>
      </c>
      <c r="AC189" s="64" t="s">
        <v>5</v>
      </c>
      <c r="AD189" s="64">
        <v>722.14</v>
      </c>
      <c r="AH189" s="64" t="e">
        <f t="shared" si="23"/>
        <v>#N/A</v>
      </c>
      <c r="AS189" s="64" t="e">
        <f t="shared" si="24"/>
        <v>#N/A</v>
      </c>
    </row>
    <row r="190" spans="1:45" s="64" customFormat="1" ht="36" customHeight="1" x14ac:dyDescent="0.9">
      <c r="B190" s="91" t="s">
        <v>785</v>
      </c>
      <c r="C190" s="172"/>
      <c r="D190" s="126" t="s">
        <v>916</v>
      </c>
      <c r="E190" s="126" t="s">
        <v>916</v>
      </c>
      <c r="F190" s="126" t="s">
        <v>916</v>
      </c>
      <c r="G190" s="126" t="s">
        <v>916</v>
      </c>
      <c r="H190" s="126" t="s">
        <v>916</v>
      </c>
      <c r="I190" s="117">
        <f>SUM(I191:I223)</f>
        <v>202837.27</v>
      </c>
      <c r="J190" s="117">
        <f>SUM(J191:J223)</f>
        <v>167149.92000000004</v>
      </c>
      <c r="K190" s="117">
        <f>SUM(K191:K223)</f>
        <v>157851.06</v>
      </c>
      <c r="L190" s="127">
        <f>SUM(L191:L223)</f>
        <v>6655</v>
      </c>
      <c r="M190" s="126" t="s">
        <v>916</v>
      </c>
      <c r="N190" s="126" t="s">
        <v>916</v>
      </c>
      <c r="O190" s="124" t="s">
        <v>916</v>
      </c>
      <c r="P190" s="117">
        <v>182923711.81999999</v>
      </c>
      <c r="Q190" s="117">
        <f>SUM(Q191:Q223)</f>
        <v>0</v>
      </c>
      <c r="R190" s="117">
        <f>SUM(R191:R223)</f>
        <v>0</v>
      </c>
      <c r="S190" s="117">
        <f>SUM(S191:S223)</f>
        <v>182923711.81999999</v>
      </c>
      <c r="T190" s="118">
        <f t="shared" si="19"/>
        <v>901.82495465453667</v>
      </c>
      <c r="U190" s="118">
        <f>MAX(U191:U223)</f>
        <v>10526.800662881176</v>
      </c>
      <c r="V190" s="183">
        <f t="shared" si="20"/>
        <v>9624.9757082266406</v>
      </c>
      <c r="W190" s="183"/>
      <c r="X190" s="183"/>
      <c r="Y190" s="64" t="e">
        <f t="shared" si="21"/>
        <v>#N/A</v>
      </c>
      <c r="AA190" s="64" t="e">
        <f t="shared" si="22"/>
        <v>#N/A</v>
      </c>
      <c r="AC190" s="64" t="s">
        <v>1622</v>
      </c>
      <c r="AD190" s="64">
        <v>430.15</v>
      </c>
      <c r="AH190" s="64" t="e">
        <f t="shared" si="23"/>
        <v>#N/A</v>
      </c>
      <c r="AS190" s="64" t="e">
        <f t="shared" si="24"/>
        <v>#N/A</v>
      </c>
    </row>
    <row r="191" spans="1:45" s="64" customFormat="1" ht="36" customHeight="1" x14ac:dyDescent="0.9">
      <c r="A191" s="64">
        <v>1</v>
      </c>
      <c r="B191" s="92">
        <f>SUBTOTAL(103,$A$16:A191)</f>
        <v>173</v>
      </c>
      <c r="C191" s="91" t="s">
        <v>786</v>
      </c>
      <c r="D191" s="126">
        <v>1960</v>
      </c>
      <c r="E191" s="126"/>
      <c r="F191" s="145" t="s">
        <v>273</v>
      </c>
      <c r="G191" s="126">
        <v>4</v>
      </c>
      <c r="H191" s="126">
        <v>3</v>
      </c>
      <c r="I191" s="118">
        <v>2116.5</v>
      </c>
      <c r="J191" s="118">
        <v>1931.2</v>
      </c>
      <c r="K191" s="118">
        <v>1680.5</v>
      </c>
      <c r="L191" s="127">
        <v>73</v>
      </c>
      <c r="M191" s="126" t="s">
        <v>271</v>
      </c>
      <c r="N191" s="126" t="s">
        <v>275</v>
      </c>
      <c r="O191" s="124" t="s">
        <v>826</v>
      </c>
      <c r="P191" s="118">
        <v>8096493.6899999995</v>
      </c>
      <c r="Q191" s="118">
        <v>0</v>
      </c>
      <c r="R191" s="118">
        <v>0</v>
      </c>
      <c r="S191" s="118">
        <f t="shared" ref="S191:S220" si="26">P191-Q191-R191</f>
        <v>8096493.6899999995</v>
      </c>
      <c r="T191" s="118">
        <f t="shared" ref="T191:T253" si="27">P191/I191</f>
        <v>3825.4163430191352</v>
      </c>
      <c r="U191" s="118">
        <f>AG191</f>
        <v>4494.6760977630493</v>
      </c>
      <c r="V191" s="183">
        <f t="shared" si="20"/>
        <v>669.25975474391407</v>
      </c>
      <c r="W191" s="183"/>
      <c r="X191" s="183"/>
      <c r="Y191" s="64" t="e">
        <f t="shared" si="21"/>
        <v>#N/A</v>
      </c>
      <c r="AA191" s="64" t="e">
        <f t="shared" si="22"/>
        <v>#N/A</v>
      </c>
      <c r="AC191" s="64" t="s">
        <v>722</v>
      </c>
      <c r="AD191" s="64">
        <v>1241</v>
      </c>
      <c r="AG191" s="64">
        <f>AH191*6191.24/J191</f>
        <v>4494.6760977630493</v>
      </c>
      <c r="AH191" s="64">
        <f t="shared" si="23"/>
        <v>1402</v>
      </c>
      <c r="AS191" s="64" t="e">
        <f t="shared" si="24"/>
        <v>#N/A</v>
      </c>
    </row>
    <row r="192" spans="1:45" s="64" customFormat="1" ht="36" customHeight="1" x14ac:dyDescent="0.9">
      <c r="A192" s="64">
        <v>1</v>
      </c>
      <c r="B192" s="92">
        <f>SUBTOTAL(103,$A$16:A192)</f>
        <v>174</v>
      </c>
      <c r="C192" s="91" t="s">
        <v>787</v>
      </c>
      <c r="D192" s="126">
        <v>1938</v>
      </c>
      <c r="E192" s="126"/>
      <c r="F192" s="145" t="s">
        <v>332</v>
      </c>
      <c r="G192" s="126">
        <v>2</v>
      </c>
      <c r="H192" s="126">
        <v>2</v>
      </c>
      <c r="I192" s="118">
        <v>692.4</v>
      </c>
      <c r="J192" s="118">
        <v>632.79999999999995</v>
      </c>
      <c r="K192" s="118">
        <v>632.79999999999995</v>
      </c>
      <c r="L192" s="127">
        <v>23</v>
      </c>
      <c r="M192" s="126" t="s">
        <v>271</v>
      </c>
      <c r="N192" s="126" t="s">
        <v>272</v>
      </c>
      <c r="O192" s="124" t="s">
        <v>274</v>
      </c>
      <c r="P192" s="118">
        <v>2390164.4000000004</v>
      </c>
      <c r="Q192" s="118">
        <v>0</v>
      </c>
      <c r="R192" s="118">
        <v>0</v>
      </c>
      <c r="S192" s="118">
        <f t="shared" si="26"/>
        <v>2390164.4000000004</v>
      </c>
      <c r="T192" s="118">
        <f t="shared" si="27"/>
        <v>3451.9994222992495</v>
      </c>
      <c r="U192" s="118">
        <f>Y192</f>
        <v>3846.2131715771234</v>
      </c>
      <c r="V192" s="183">
        <f t="shared" si="20"/>
        <v>394.21374927787383</v>
      </c>
      <c r="W192" s="183"/>
      <c r="X192" s="183"/>
      <c r="Y192" s="64">
        <f t="shared" si="21"/>
        <v>3846.2131715771234</v>
      </c>
      <c r="AA192" s="64">
        <f t="shared" si="22"/>
        <v>510</v>
      </c>
      <c r="AC192" s="64" t="s">
        <v>1605</v>
      </c>
      <c r="AD192" s="64">
        <v>762.8</v>
      </c>
      <c r="AH192" s="64" t="e">
        <f t="shared" si="23"/>
        <v>#N/A</v>
      </c>
      <c r="AS192" s="64" t="e">
        <f t="shared" si="24"/>
        <v>#N/A</v>
      </c>
    </row>
    <row r="193" spans="1:45" s="64" customFormat="1" ht="36" customHeight="1" x14ac:dyDescent="0.9">
      <c r="A193" s="64">
        <v>1</v>
      </c>
      <c r="B193" s="92">
        <f>SUBTOTAL(103,$A$16:A193)</f>
        <v>175</v>
      </c>
      <c r="C193" s="91" t="s">
        <v>788</v>
      </c>
      <c r="D193" s="126">
        <v>1961</v>
      </c>
      <c r="E193" s="126"/>
      <c r="F193" s="145" t="s">
        <v>273</v>
      </c>
      <c r="G193" s="126">
        <v>2</v>
      </c>
      <c r="H193" s="126">
        <v>1</v>
      </c>
      <c r="I193" s="118">
        <v>296.39999999999998</v>
      </c>
      <c r="J193" s="118">
        <v>275.5</v>
      </c>
      <c r="K193" s="118">
        <v>275.5</v>
      </c>
      <c r="L193" s="127">
        <v>8</v>
      </c>
      <c r="M193" s="126" t="s">
        <v>271</v>
      </c>
      <c r="N193" s="126" t="s">
        <v>275</v>
      </c>
      <c r="O193" s="124" t="s">
        <v>827</v>
      </c>
      <c r="P193" s="118">
        <v>1220001.9200000002</v>
      </c>
      <c r="Q193" s="118">
        <v>0</v>
      </c>
      <c r="R193" s="118">
        <v>0</v>
      </c>
      <c r="S193" s="118">
        <f t="shared" si="26"/>
        <v>1220001.9200000002</v>
      </c>
      <c r="T193" s="118">
        <f t="shared" si="27"/>
        <v>4116.0658569500683</v>
      </c>
      <c r="U193" s="118">
        <f>Y193</f>
        <v>4668.6133603238868</v>
      </c>
      <c r="V193" s="183">
        <f t="shared" si="20"/>
        <v>552.54750337381847</v>
      </c>
      <c r="W193" s="183"/>
      <c r="X193" s="183"/>
      <c r="Y193" s="64">
        <f t="shared" si="21"/>
        <v>4668.6133603238868</v>
      </c>
      <c r="AA193" s="64">
        <f t="shared" si="22"/>
        <v>265</v>
      </c>
      <c r="AC193" s="64" t="s">
        <v>820</v>
      </c>
      <c r="AD193" s="64">
        <v>475</v>
      </c>
      <c r="AH193" s="64" t="e">
        <f t="shared" si="23"/>
        <v>#N/A</v>
      </c>
      <c r="AS193" s="64" t="e">
        <f t="shared" si="24"/>
        <v>#N/A</v>
      </c>
    </row>
    <row r="194" spans="1:45" s="64" customFormat="1" ht="36" customHeight="1" x14ac:dyDescent="0.9">
      <c r="A194" s="64">
        <v>1</v>
      </c>
      <c r="B194" s="92">
        <f>SUBTOTAL(103,$A$16:A194)</f>
        <v>176</v>
      </c>
      <c r="C194" s="91" t="s">
        <v>789</v>
      </c>
      <c r="D194" s="126">
        <v>1988</v>
      </c>
      <c r="E194" s="126"/>
      <c r="F194" s="145" t="s">
        <v>326</v>
      </c>
      <c r="G194" s="126">
        <v>9</v>
      </c>
      <c r="H194" s="126">
        <v>3</v>
      </c>
      <c r="I194" s="118">
        <v>6561.4</v>
      </c>
      <c r="J194" s="118">
        <v>5844</v>
      </c>
      <c r="K194" s="118">
        <v>5844</v>
      </c>
      <c r="L194" s="127">
        <v>243</v>
      </c>
      <c r="M194" s="126" t="s">
        <v>271</v>
      </c>
      <c r="N194" s="126" t="s">
        <v>275</v>
      </c>
      <c r="O194" s="124" t="s">
        <v>828</v>
      </c>
      <c r="P194" s="118">
        <v>6235239.4299999997</v>
      </c>
      <c r="Q194" s="118">
        <v>0</v>
      </c>
      <c r="R194" s="118">
        <v>0</v>
      </c>
      <c r="S194" s="118">
        <f t="shared" si="26"/>
        <v>6235239.4299999997</v>
      </c>
      <c r="T194" s="118">
        <f t="shared" si="27"/>
        <v>950.29100954064677</v>
      </c>
      <c r="U194" s="118">
        <f>AR194</f>
        <v>1009.2722589691225</v>
      </c>
      <c r="V194" s="183">
        <f t="shared" si="20"/>
        <v>58.981249428475735</v>
      </c>
      <c r="W194" s="183"/>
      <c r="X194" s="183"/>
      <c r="Y194" s="64" t="e">
        <f t="shared" si="21"/>
        <v>#N/A</v>
      </c>
      <c r="AA194" s="64" t="e">
        <f t="shared" si="22"/>
        <v>#N/A</v>
      </c>
      <c r="AC194" s="64" t="s">
        <v>115</v>
      </c>
      <c r="AD194" s="64">
        <v>665</v>
      </c>
      <c r="AH194" s="64" t="e">
        <f t="shared" si="23"/>
        <v>#N/A</v>
      </c>
      <c r="AR194" s="64">
        <f>AS194*2207413/I194</f>
        <v>1009.2722589691225</v>
      </c>
      <c r="AS194" s="64">
        <f t="shared" si="24"/>
        <v>3</v>
      </c>
    </row>
    <row r="195" spans="1:45" s="64" customFormat="1" ht="36" customHeight="1" x14ac:dyDescent="0.9">
      <c r="A195" s="64">
        <v>1</v>
      </c>
      <c r="B195" s="92">
        <f>SUBTOTAL(103,$A$16:A195)</f>
        <v>177</v>
      </c>
      <c r="C195" s="91" t="s">
        <v>790</v>
      </c>
      <c r="D195" s="126">
        <v>1988</v>
      </c>
      <c r="E195" s="126"/>
      <c r="F195" s="145" t="s">
        <v>273</v>
      </c>
      <c r="G195" s="126">
        <v>9</v>
      </c>
      <c r="H195" s="126">
        <v>4</v>
      </c>
      <c r="I195" s="118">
        <v>9256.7000000000007</v>
      </c>
      <c r="J195" s="118">
        <v>8471</v>
      </c>
      <c r="K195" s="118">
        <v>8471</v>
      </c>
      <c r="L195" s="127">
        <v>452</v>
      </c>
      <c r="M195" s="126" t="s">
        <v>271</v>
      </c>
      <c r="N195" s="126" t="s">
        <v>275</v>
      </c>
      <c r="O195" s="124" t="s">
        <v>827</v>
      </c>
      <c r="P195" s="118">
        <v>8305636.5700000003</v>
      </c>
      <c r="Q195" s="118">
        <v>0</v>
      </c>
      <c r="R195" s="118">
        <v>0</v>
      </c>
      <c r="S195" s="118">
        <f t="shared" si="26"/>
        <v>8305636.5700000003</v>
      </c>
      <c r="T195" s="118">
        <f t="shared" si="27"/>
        <v>897.25675132606648</v>
      </c>
      <c r="U195" s="118">
        <f>AR195</f>
        <v>953.86606458024994</v>
      </c>
      <c r="V195" s="183">
        <f t="shared" si="20"/>
        <v>56.609313254183462</v>
      </c>
      <c r="W195" s="183"/>
      <c r="X195" s="183"/>
      <c r="Y195" s="64" t="e">
        <f t="shared" si="21"/>
        <v>#N/A</v>
      </c>
      <c r="AA195" s="64" t="e">
        <f t="shared" si="22"/>
        <v>#N/A</v>
      </c>
      <c r="AC195" s="64" t="s">
        <v>118</v>
      </c>
      <c r="AD195" s="64">
        <v>621.29999999999995</v>
      </c>
      <c r="AH195" s="64" t="e">
        <f t="shared" si="23"/>
        <v>#N/A</v>
      </c>
      <c r="AR195" s="64">
        <f>AS195*2207413/I195</f>
        <v>953.86606458024994</v>
      </c>
      <c r="AS195" s="64">
        <f t="shared" si="24"/>
        <v>4</v>
      </c>
    </row>
    <row r="196" spans="1:45" s="64" customFormat="1" ht="36" customHeight="1" x14ac:dyDescent="0.9">
      <c r="A196" s="64">
        <v>1</v>
      </c>
      <c r="B196" s="92">
        <f>SUBTOTAL(103,$A$16:A196)</f>
        <v>178</v>
      </c>
      <c r="C196" s="91" t="s">
        <v>791</v>
      </c>
      <c r="D196" s="126">
        <v>1984</v>
      </c>
      <c r="E196" s="126"/>
      <c r="F196" s="145" t="s">
        <v>326</v>
      </c>
      <c r="G196" s="126">
        <v>9</v>
      </c>
      <c r="H196" s="126">
        <v>5</v>
      </c>
      <c r="I196" s="118">
        <v>12333.3</v>
      </c>
      <c r="J196" s="118">
        <v>9670</v>
      </c>
      <c r="K196" s="118">
        <v>9670</v>
      </c>
      <c r="L196" s="127">
        <v>417</v>
      </c>
      <c r="M196" s="126" t="s">
        <v>271</v>
      </c>
      <c r="N196" s="126" t="s">
        <v>275</v>
      </c>
      <c r="O196" s="124" t="s">
        <v>829</v>
      </c>
      <c r="P196" s="118">
        <v>10305814.43</v>
      </c>
      <c r="Q196" s="118">
        <v>0</v>
      </c>
      <c r="R196" s="118">
        <v>0</v>
      </c>
      <c r="S196" s="118">
        <f t="shared" si="26"/>
        <v>10305814.43</v>
      </c>
      <c r="T196" s="118">
        <f t="shared" si="27"/>
        <v>835.60883380765893</v>
      </c>
      <c r="U196" s="118">
        <f>AR196</f>
        <v>894.8995808096779</v>
      </c>
      <c r="V196" s="183">
        <f t="shared" si="20"/>
        <v>59.290747002018975</v>
      </c>
      <c r="W196" s="183"/>
      <c r="X196" s="183"/>
      <c r="Y196" s="64" t="e">
        <f t="shared" si="21"/>
        <v>#N/A</v>
      </c>
      <c r="AA196" s="64" t="e">
        <f t="shared" si="22"/>
        <v>#N/A</v>
      </c>
      <c r="AC196" s="64" t="s">
        <v>114</v>
      </c>
      <c r="AD196" s="64">
        <v>323.5</v>
      </c>
      <c r="AH196" s="64" t="e">
        <f t="shared" si="23"/>
        <v>#N/A</v>
      </c>
      <c r="AR196" s="64">
        <f>AS196*2207413/I196</f>
        <v>894.8995808096779</v>
      </c>
      <c r="AS196" s="64">
        <f t="shared" si="24"/>
        <v>5</v>
      </c>
    </row>
    <row r="197" spans="1:45" s="64" customFormat="1" ht="36" customHeight="1" x14ac:dyDescent="0.9">
      <c r="A197" s="64">
        <v>1</v>
      </c>
      <c r="B197" s="92">
        <f>SUBTOTAL(103,$A$16:A197)</f>
        <v>179</v>
      </c>
      <c r="C197" s="91" t="s">
        <v>792</v>
      </c>
      <c r="D197" s="126">
        <v>1987</v>
      </c>
      <c r="E197" s="126"/>
      <c r="F197" s="145" t="s">
        <v>326</v>
      </c>
      <c r="G197" s="126">
        <v>9</v>
      </c>
      <c r="H197" s="126">
        <v>5</v>
      </c>
      <c r="I197" s="118">
        <v>12462.6</v>
      </c>
      <c r="J197" s="118">
        <v>9746.7999999999993</v>
      </c>
      <c r="K197" s="118">
        <v>9746.7999999999993</v>
      </c>
      <c r="L197" s="127">
        <v>419</v>
      </c>
      <c r="M197" s="126" t="s">
        <v>271</v>
      </c>
      <c r="N197" s="126" t="s">
        <v>275</v>
      </c>
      <c r="O197" s="124" t="s">
        <v>829</v>
      </c>
      <c r="P197" s="118">
        <v>9954095.7100000009</v>
      </c>
      <c r="Q197" s="118">
        <v>0</v>
      </c>
      <c r="R197" s="118">
        <v>0</v>
      </c>
      <c r="S197" s="118">
        <f t="shared" si="26"/>
        <v>9954095.7100000009</v>
      </c>
      <c r="T197" s="118">
        <f t="shared" si="27"/>
        <v>798.71741931860129</v>
      </c>
      <c r="U197" s="118">
        <f>AR197</f>
        <v>885.61495996020085</v>
      </c>
      <c r="V197" s="183">
        <f t="shared" si="20"/>
        <v>86.897540641599562</v>
      </c>
      <c r="W197" s="183"/>
      <c r="X197" s="183"/>
      <c r="Y197" s="64" t="e">
        <f t="shared" si="21"/>
        <v>#N/A</v>
      </c>
      <c r="AA197" s="64" t="e">
        <f t="shared" si="22"/>
        <v>#N/A</v>
      </c>
      <c r="AC197" s="64" t="s">
        <v>116</v>
      </c>
      <c r="AD197" s="64">
        <v>1256.9000000000001</v>
      </c>
      <c r="AH197" s="64" t="e">
        <f t="shared" si="23"/>
        <v>#N/A</v>
      </c>
      <c r="AR197" s="64">
        <f>AS197*2207413/I197</f>
        <v>885.61495996020085</v>
      </c>
      <c r="AS197" s="64">
        <f t="shared" si="24"/>
        <v>5</v>
      </c>
    </row>
    <row r="198" spans="1:45" s="64" customFormat="1" ht="36" customHeight="1" x14ac:dyDescent="0.9">
      <c r="A198" s="64">
        <v>1</v>
      </c>
      <c r="B198" s="92">
        <f>SUBTOTAL(103,$A$16:A198)</f>
        <v>180</v>
      </c>
      <c r="C198" s="91" t="s">
        <v>793</v>
      </c>
      <c r="D198" s="126">
        <v>1937</v>
      </c>
      <c r="E198" s="126"/>
      <c r="F198" s="145" t="s">
        <v>273</v>
      </c>
      <c r="G198" s="126">
        <v>3</v>
      </c>
      <c r="H198" s="126">
        <v>4</v>
      </c>
      <c r="I198" s="118">
        <v>2718</v>
      </c>
      <c r="J198" s="118">
        <v>2039</v>
      </c>
      <c r="K198" s="118">
        <v>2039</v>
      </c>
      <c r="L198" s="127">
        <v>62</v>
      </c>
      <c r="M198" s="126" t="s">
        <v>271</v>
      </c>
      <c r="N198" s="126" t="s">
        <v>275</v>
      </c>
      <c r="O198" s="124" t="s">
        <v>830</v>
      </c>
      <c r="P198" s="118">
        <v>9311263.3400000017</v>
      </c>
      <c r="Q198" s="118">
        <v>0</v>
      </c>
      <c r="R198" s="118">
        <v>0</v>
      </c>
      <c r="S198" s="118">
        <f t="shared" si="26"/>
        <v>9311263.3400000017</v>
      </c>
      <c r="T198" s="118">
        <f t="shared" si="27"/>
        <v>3425.7775349521712</v>
      </c>
      <c r="U198" s="118">
        <v>3697.55</v>
      </c>
      <c r="V198" s="183">
        <f t="shared" si="20"/>
        <v>271.77246504782897</v>
      </c>
      <c r="W198" s="183"/>
      <c r="X198" s="183"/>
      <c r="Y198" s="64" t="e">
        <f t="shared" si="21"/>
        <v>#N/A</v>
      </c>
      <c r="AA198" s="64" t="e">
        <f t="shared" si="22"/>
        <v>#N/A</v>
      </c>
      <c r="AC198" s="64" t="s">
        <v>117</v>
      </c>
      <c r="AD198" s="64">
        <v>1151</v>
      </c>
      <c r="AH198" s="64" t="e">
        <f t="shared" si="23"/>
        <v>#N/A</v>
      </c>
      <c r="AS198" s="64" t="e">
        <f t="shared" si="24"/>
        <v>#N/A</v>
      </c>
    </row>
    <row r="199" spans="1:45" s="64" customFormat="1" ht="36" customHeight="1" x14ac:dyDescent="0.9">
      <c r="A199" s="64">
        <v>1</v>
      </c>
      <c r="B199" s="92">
        <f>SUBTOTAL(103,$A$16:A199)</f>
        <v>181</v>
      </c>
      <c r="C199" s="91" t="s">
        <v>794</v>
      </c>
      <c r="D199" s="126">
        <v>1958</v>
      </c>
      <c r="E199" s="126"/>
      <c r="F199" s="145" t="s">
        <v>273</v>
      </c>
      <c r="G199" s="126">
        <v>2</v>
      </c>
      <c r="H199" s="126">
        <v>2</v>
      </c>
      <c r="I199" s="118">
        <v>478.27</v>
      </c>
      <c r="J199" s="118">
        <v>304.72000000000003</v>
      </c>
      <c r="K199" s="118">
        <v>304.72000000000003</v>
      </c>
      <c r="L199" s="127">
        <v>20</v>
      </c>
      <c r="M199" s="126" t="s">
        <v>271</v>
      </c>
      <c r="N199" s="126" t="s">
        <v>272</v>
      </c>
      <c r="O199" s="124" t="s">
        <v>274</v>
      </c>
      <c r="P199" s="118">
        <v>3165589.23</v>
      </c>
      <c r="Q199" s="118">
        <v>0</v>
      </c>
      <c r="R199" s="118">
        <v>0</v>
      </c>
      <c r="S199" s="118">
        <f t="shared" si="26"/>
        <v>3165589.23</v>
      </c>
      <c r="T199" s="118">
        <f t="shared" si="27"/>
        <v>6618.8329395529727</v>
      </c>
      <c r="U199" s="118">
        <f>Y199</f>
        <v>7369.7179417483849</v>
      </c>
      <c r="V199" s="183">
        <f t="shared" si="20"/>
        <v>750.8850021954122</v>
      </c>
      <c r="W199" s="183"/>
      <c r="X199" s="183"/>
      <c r="Y199" s="64">
        <f t="shared" si="21"/>
        <v>7369.7179417483849</v>
      </c>
      <c r="AA199" s="64">
        <f t="shared" si="22"/>
        <v>675</v>
      </c>
      <c r="AC199" s="64" t="s">
        <v>119</v>
      </c>
      <c r="AD199" s="64">
        <v>639.9</v>
      </c>
      <c r="AH199" s="64" t="e">
        <f t="shared" si="23"/>
        <v>#N/A</v>
      </c>
      <c r="AS199" s="64" t="e">
        <f t="shared" si="24"/>
        <v>#N/A</v>
      </c>
    </row>
    <row r="200" spans="1:45" s="64" customFormat="1" ht="36" customHeight="1" x14ac:dyDescent="0.9">
      <c r="A200" s="64">
        <v>1</v>
      </c>
      <c r="B200" s="92">
        <f>SUBTOTAL(103,$A$16:A200)</f>
        <v>182</v>
      </c>
      <c r="C200" s="91" t="s">
        <v>795</v>
      </c>
      <c r="D200" s="126">
        <v>1962</v>
      </c>
      <c r="E200" s="126"/>
      <c r="F200" s="145" t="s">
        <v>273</v>
      </c>
      <c r="G200" s="126">
        <v>6</v>
      </c>
      <c r="H200" s="126">
        <v>5</v>
      </c>
      <c r="I200" s="118">
        <v>5489.1</v>
      </c>
      <c r="J200" s="118">
        <v>4498.1000000000004</v>
      </c>
      <c r="K200" s="118">
        <v>4151.8999999999996</v>
      </c>
      <c r="L200" s="127">
        <v>130</v>
      </c>
      <c r="M200" s="126" t="s">
        <v>271</v>
      </c>
      <c r="N200" s="126" t="s">
        <v>275</v>
      </c>
      <c r="O200" s="124" t="s">
        <v>831</v>
      </c>
      <c r="P200" s="118">
        <v>8044895.8899999997</v>
      </c>
      <c r="Q200" s="118">
        <v>0</v>
      </c>
      <c r="R200" s="118">
        <v>0</v>
      </c>
      <c r="S200" s="118">
        <f t="shared" si="26"/>
        <v>8044895.8899999997</v>
      </c>
      <c r="T200" s="118">
        <f t="shared" si="27"/>
        <v>1465.6129219726365</v>
      </c>
      <c r="U200" s="118">
        <f>T200</f>
        <v>1465.6129219726365</v>
      </c>
      <c r="V200" s="183">
        <f t="shared" si="20"/>
        <v>0</v>
      </c>
      <c r="W200" s="183"/>
      <c r="X200" s="183"/>
      <c r="Y200" s="64">
        <f t="shared" si="21"/>
        <v>1255.0261583866206</v>
      </c>
      <c r="AA200" s="64">
        <f t="shared" si="22"/>
        <v>1319.27</v>
      </c>
      <c r="AC200" s="64" t="s">
        <v>1253</v>
      </c>
      <c r="AD200" s="64">
        <v>1150.3</v>
      </c>
      <c r="AH200" s="64" t="e">
        <f t="shared" si="23"/>
        <v>#N/A</v>
      </c>
      <c r="AS200" s="64" t="e">
        <f t="shared" si="24"/>
        <v>#N/A</v>
      </c>
    </row>
    <row r="201" spans="1:45" s="64" customFormat="1" ht="36" customHeight="1" x14ac:dyDescent="0.9">
      <c r="A201" s="64">
        <v>1</v>
      </c>
      <c r="B201" s="92">
        <f>SUBTOTAL(103,$A$16:A201)</f>
        <v>183</v>
      </c>
      <c r="C201" s="91" t="s">
        <v>796</v>
      </c>
      <c r="D201" s="126">
        <v>1962</v>
      </c>
      <c r="E201" s="126"/>
      <c r="F201" s="145" t="s">
        <v>273</v>
      </c>
      <c r="G201" s="126">
        <v>4</v>
      </c>
      <c r="H201" s="126">
        <v>3</v>
      </c>
      <c r="I201" s="118">
        <v>2946.2</v>
      </c>
      <c r="J201" s="118">
        <v>1810.2</v>
      </c>
      <c r="K201" s="118">
        <v>1653.1</v>
      </c>
      <c r="L201" s="127">
        <v>95</v>
      </c>
      <c r="M201" s="126" t="s">
        <v>271</v>
      </c>
      <c r="N201" s="126" t="s">
        <v>275</v>
      </c>
      <c r="O201" s="124" t="s">
        <v>828</v>
      </c>
      <c r="P201" s="118">
        <v>5123354.76</v>
      </c>
      <c r="Q201" s="118">
        <v>0</v>
      </c>
      <c r="R201" s="118">
        <v>0</v>
      </c>
      <c r="S201" s="118">
        <f t="shared" si="26"/>
        <v>5123354.76</v>
      </c>
      <c r="T201" s="118">
        <f t="shared" si="27"/>
        <v>1738.9704568596837</v>
      </c>
      <c r="U201" s="118">
        <f>Y201</f>
        <v>1914.1755481637365</v>
      </c>
      <c r="V201" s="183">
        <f t="shared" si="20"/>
        <v>175.20509130405276</v>
      </c>
      <c r="W201" s="183"/>
      <c r="X201" s="183"/>
      <c r="Y201" s="64">
        <f t="shared" si="21"/>
        <v>1914.1755481637365</v>
      </c>
      <c r="AA201" s="64">
        <f t="shared" si="22"/>
        <v>1080</v>
      </c>
      <c r="AC201" s="64" t="s">
        <v>1254</v>
      </c>
      <c r="AD201" s="64">
        <v>763.8</v>
      </c>
      <c r="AH201" s="64" t="e">
        <f t="shared" si="23"/>
        <v>#N/A</v>
      </c>
      <c r="AS201" s="64" t="e">
        <f t="shared" si="24"/>
        <v>#N/A</v>
      </c>
    </row>
    <row r="202" spans="1:45" s="64" customFormat="1" ht="36" customHeight="1" x14ac:dyDescent="0.9">
      <c r="A202" s="64">
        <v>1</v>
      </c>
      <c r="B202" s="92">
        <f>SUBTOTAL(103,$A$16:A202)</f>
        <v>184</v>
      </c>
      <c r="C202" s="91" t="s">
        <v>797</v>
      </c>
      <c r="D202" s="126">
        <v>1930</v>
      </c>
      <c r="E202" s="126"/>
      <c r="F202" s="145" t="s">
        <v>273</v>
      </c>
      <c r="G202" s="126">
        <v>4</v>
      </c>
      <c r="H202" s="126">
        <v>2</v>
      </c>
      <c r="I202" s="118">
        <v>3000</v>
      </c>
      <c r="J202" s="118">
        <v>2823.84</v>
      </c>
      <c r="K202" s="118">
        <v>1772.64</v>
      </c>
      <c r="L202" s="127">
        <v>98</v>
      </c>
      <c r="M202" s="126" t="s">
        <v>271</v>
      </c>
      <c r="N202" s="126" t="s">
        <v>272</v>
      </c>
      <c r="O202" s="124" t="s">
        <v>274</v>
      </c>
      <c r="P202" s="118">
        <v>8021093.6299999999</v>
      </c>
      <c r="Q202" s="118">
        <v>0</v>
      </c>
      <c r="R202" s="118">
        <v>0</v>
      </c>
      <c r="S202" s="118">
        <f t="shared" si="26"/>
        <v>8021093.6299999999</v>
      </c>
      <c r="T202" s="118">
        <f t="shared" si="27"/>
        <v>2673.6978766666666</v>
      </c>
      <c r="U202" s="118">
        <f>T202</f>
        <v>2673.6978766666666</v>
      </c>
      <c r="V202" s="183">
        <f t="shared" si="20"/>
        <v>0</v>
      </c>
      <c r="W202" s="183"/>
      <c r="X202" s="183"/>
      <c r="Y202" s="64">
        <f t="shared" si="21"/>
        <v>2394.8915400000005</v>
      </c>
      <c r="AA202" s="64">
        <f t="shared" si="22"/>
        <v>1375.9</v>
      </c>
      <c r="AC202" s="64" t="s">
        <v>1255</v>
      </c>
      <c r="AD202" s="64">
        <v>461.1</v>
      </c>
      <c r="AH202" s="64" t="e">
        <f t="shared" si="23"/>
        <v>#N/A</v>
      </c>
      <c r="AS202" s="64" t="e">
        <f t="shared" si="24"/>
        <v>#N/A</v>
      </c>
    </row>
    <row r="203" spans="1:45" s="64" customFormat="1" ht="36" customHeight="1" x14ac:dyDescent="0.9">
      <c r="A203" s="64">
        <v>1</v>
      </c>
      <c r="B203" s="92">
        <f>SUBTOTAL(103,$A$16:A203)</f>
        <v>185</v>
      </c>
      <c r="C203" s="91" t="s">
        <v>1194</v>
      </c>
      <c r="D203" s="126">
        <v>1954</v>
      </c>
      <c r="E203" s="126"/>
      <c r="F203" s="145" t="s">
        <v>273</v>
      </c>
      <c r="G203" s="126">
        <v>2</v>
      </c>
      <c r="H203" s="126">
        <v>1</v>
      </c>
      <c r="I203" s="118">
        <v>796.2</v>
      </c>
      <c r="J203" s="118">
        <v>475.5</v>
      </c>
      <c r="K203" s="118">
        <v>475.5</v>
      </c>
      <c r="L203" s="127">
        <v>37</v>
      </c>
      <c r="M203" s="126" t="s">
        <v>271</v>
      </c>
      <c r="N203" s="126" t="s">
        <v>275</v>
      </c>
      <c r="O203" s="124" t="s">
        <v>1330</v>
      </c>
      <c r="P203" s="118">
        <v>3853007.0700000003</v>
      </c>
      <c r="Q203" s="118">
        <v>0</v>
      </c>
      <c r="R203" s="118">
        <v>0</v>
      </c>
      <c r="S203" s="118">
        <f t="shared" si="26"/>
        <v>3853007.0700000003</v>
      </c>
      <c r="T203" s="118">
        <f t="shared" si="27"/>
        <v>4839.2452524491337</v>
      </c>
      <c r="U203" s="118">
        <f>AG203</f>
        <v>10526.800662881176</v>
      </c>
      <c r="V203" s="183">
        <f t="shared" si="20"/>
        <v>5687.5554104320427</v>
      </c>
      <c r="W203" s="183"/>
      <c r="X203" s="183"/>
      <c r="Y203" s="64" t="e">
        <f t="shared" si="21"/>
        <v>#N/A</v>
      </c>
      <c r="AA203" s="64" t="e">
        <f t="shared" si="22"/>
        <v>#N/A</v>
      </c>
      <c r="AC203" s="64" t="s">
        <v>1257</v>
      </c>
      <c r="AD203" s="64">
        <v>1528.9</v>
      </c>
      <c r="AG203" s="64">
        <f>AH203*6191.24/J203</f>
        <v>10526.800662881176</v>
      </c>
      <c r="AH203" s="64">
        <f t="shared" si="23"/>
        <v>808.48</v>
      </c>
      <c r="AS203" s="64" t="e">
        <f t="shared" si="24"/>
        <v>#N/A</v>
      </c>
    </row>
    <row r="204" spans="1:45" s="64" customFormat="1" ht="36" customHeight="1" x14ac:dyDescent="0.9">
      <c r="A204" s="64">
        <v>1</v>
      </c>
      <c r="B204" s="92">
        <f>SUBTOTAL(103,$A$16:A204)</f>
        <v>186</v>
      </c>
      <c r="C204" s="91" t="s">
        <v>1195</v>
      </c>
      <c r="D204" s="126">
        <v>1937</v>
      </c>
      <c r="E204" s="126"/>
      <c r="F204" s="145" t="s">
        <v>273</v>
      </c>
      <c r="G204" s="126">
        <v>3</v>
      </c>
      <c r="H204" s="126">
        <v>4</v>
      </c>
      <c r="I204" s="118">
        <v>2626</v>
      </c>
      <c r="J204" s="118">
        <v>2539.62</v>
      </c>
      <c r="K204" s="118">
        <v>2422.8000000000002</v>
      </c>
      <c r="L204" s="127">
        <v>96</v>
      </c>
      <c r="M204" s="126" t="s">
        <v>271</v>
      </c>
      <c r="N204" s="126" t="s">
        <v>275</v>
      </c>
      <c r="O204" s="124" t="s">
        <v>835</v>
      </c>
      <c r="P204" s="118">
        <v>3073982.0300000003</v>
      </c>
      <c r="Q204" s="118">
        <v>0</v>
      </c>
      <c r="R204" s="118">
        <v>0</v>
      </c>
      <c r="S204" s="118">
        <f t="shared" si="26"/>
        <v>3073982.0300000003</v>
      </c>
      <c r="T204" s="118">
        <f t="shared" si="27"/>
        <v>1170.5948324447832</v>
      </c>
      <c r="U204" s="118">
        <v>3697.55</v>
      </c>
      <c r="V204" s="183">
        <f t="shared" si="20"/>
        <v>2526.955167555217</v>
      </c>
      <c r="W204" s="183"/>
      <c r="X204" s="183"/>
      <c r="Y204" s="64" t="e">
        <f t="shared" si="21"/>
        <v>#N/A</v>
      </c>
      <c r="AA204" s="64" t="e">
        <f t="shared" si="22"/>
        <v>#N/A</v>
      </c>
      <c r="AC204" s="64" t="s">
        <v>1609</v>
      </c>
      <c r="AD204" s="64">
        <v>870</v>
      </c>
      <c r="AH204" s="64" t="e">
        <f t="shared" si="23"/>
        <v>#N/A</v>
      </c>
      <c r="AS204" s="64" t="e">
        <f t="shared" si="24"/>
        <v>#N/A</v>
      </c>
    </row>
    <row r="205" spans="1:45" s="64" customFormat="1" ht="36" customHeight="1" x14ac:dyDescent="0.9">
      <c r="A205" s="64">
        <v>1</v>
      </c>
      <c r="B205" s="92">
        <f>SUBTOTAL(103,$A$16:A205)</f>
        <v>187</v>
      </c>
      <c r="C205" s="91" t="s">
        <v>1196</v>
      </c>
      <c r="D205" s="126">
        <v>1934</v>
      </c>
      <c r="E205" s="126"/>
      <c r="F205" s="145" t="s">
        <v>273</v>
      </c>
      <c r="G205" s="126">
        <v>4</v>
      </c>
      <c r="H205" s="126">
        <v>6</v>
      </c>
      <c r="I205" s="118">
        <v>3106.06</v>
      </c>
      <c r="J205" s="118">
        <v>2975.66</v>
      </c>
      <c r="K205" s="118">
        <v>2536.1999999999998</v>
      </c>
      <c r="L205" s="127">
        <v>138</v>
      </c>
      <c r="M205" s="126" t="s">
        <v>271</v>
      </c>
      <c r="N205" s="126" t="s">
        <v>275</v>
      </c>
      <c r="O205" s="124" t="s">
        <v>1656</v>
      </c>
      <c r="P205" s="118">
        <v>5597667.4300000006</v>
      </c>
      <c r="Q205" s="118">
        <v>0</v>
      </c>
      <c r="R205" s="118">
        <v>0</v>
      </c>
      <c r="S205" s="118">
        <f t="shared" si="26"/>
        <v>5597667.4300000006</v>
      </c>
      <c r="T205" s="118">
        <f t="shared" si="27"/>
        <v>1802.1762071563332</v>
      </c>
      <c r="U205" s="118">
        <f>Y205</f>
        <v>2027.855094879043</v>
      </c>
      <c r="V205" s="183">
        <f t="shared" si="20"/>
        <v>225.67888772270976</v>
      </c>
      <c r="W205" s="183"/>
      <c r="X205" s="183"/>
      <c r="Y205" s="64">
        <f t="shared" si="21"/>
        <v>2027.855094879043</v>
      </c>
      <c r="AA205" s="64">
        <f t="shared" si="22"/>
        <v>1206.22</v>
      </c>
      <c r="AC205" s="64" t="s">
        <v>136</v>
      </c>
      <c r="AD205" s="64">
        <v>1229.9000000000001</v>
      </c>
      <c r="AH205" s="64" t="e">
        <f t="shared" si="23"/>
        <v>#N/A</v>
      </c>
      <c r="AS205" s="64" t="e">
        <f t="shared" si="24"/>
        <v>#N/A</v>
      </c>
    </row>
    <row r="206" spans="1:45" s="64" customFormat="1" ht="36" customHeight="1" x14ac:dyDescent="0.9">
      <c r="A206" s="64">
        <v>1</v>
      </c>
      <c r="B206" s="92">
        <f>SUBTOTAL(103,$A$16:A206)</f>
        <v>188</v>
      </c>
      <c r="C206" s="91" t="s">
        <v>1197</v>
      </c>
      <c r="D206" s="126">
        <v>1965</v>
      </c>
      <c r="E206" s="126"/>
      <c r="F206" s="145" t="s">
        <v>273</v>
      </c>
      <c r="G206" s="126">
        <v>4</v>
      </c>
      <c r="H206" s="126">
        <v>2</v>
      </c>
      <c r="I206" s="118">
        <v>1301</v>
      </c>
      <c r="J206" s="118">
        <v>819</v>
      </c>
      <c r="K206" s="118">
        <v>819</v>
      </c>
      <c r="L206" s="127">
        <v>55</v>
      </c>
      <c r="M206" s="126" t="s">
        <v>271</v>
      </c>
      <c r="N206" s="126" t="s">
        <v>275</v>
      </c>
      <c r="O206" s="124" t="s">
        <v>830</v>
      </c>
      <c r="P206" s="118">
        <v>958906.03</v>
      </c>
      <c r="Q206" s="118">
        <v>0</v>
      </c>
      <c r="R206" s="118">
        <v>0</v>
      </c>
      <c r="S206" s="118">
        <f t="shared" si="26"/>
        <v>958906.03</v>
      </c>
      <c r="T206" s="118">
        <f t="shared" si="27"/>
        <v>737.05305918524209</v>
      </c>
      <c r="U206" s="118">
        <v>849.44999999999993</v>
      </c>
      <c r="V206" s="183">
        <f t="shared" si="20"/>
        <v>112.39694081475784</v>
      </c>
      <c r="W206" s="183"/>
      <c r="X206" s="183"/>
      <c r="Y206" s="64" t="e">
        <f t="shared" si="21"/>
        <v>#N/A</v>
      </c>
      <c r="AA206" s="64" t="e">
        <f t="shared" si="22"/>
        <v>#N/A</v>
      </c>
      <c r="AC206" s="64" t="s">
        <v>121</v>
      </c>
      <c r="AD206" s="64">
        <v>541.1</v>
      </c>
      <c r="AH206" s="64" t="e">
        <f t="shared" si="23"/>
        <v>#N/A</v>
      </c>
      <c r="AS206" s="64" t="e">
        <f t="shared" si="24"/>
        <v>#N/A</v>
      </c>
    </row>
    <row r="207" spans="1:45" s="64" customFormat="1" ht="36" customHeight="1" x14ac:dyDescent="0.9">
      <c r="A207" s="64">
        <v>1</v>
      </c>
      <c r="B207" s="92">
        <f>SUBTOTAL(103,$A$16:A207)</f>
        <v>189</v>
      </c>
      <c r="C207" s="91" t="s">
        <v>1198</v>
      </c>
      <c r="D207" s="126">
        <v>1937</v>
      </c>
      <c r="E207" s="126"/>
      <c r="F207" s="145" t="s">
        <v>273</v>
      </c>
      <c r="G207" s="126" t="s">
        <v>316</v>
      </c>
      <c r="H207" s="126" t="s">
        <v>320</v>
      </c>
      <c r="I207" s="118">
        <v>1585.9</v>
      </c>
      <c r="J207" s="118">
        <v>1465.1</v>
      </c>
      <c r="K207" s="118">
        <v>1465.1</v>
      </c>
      <c r="L207" s="127">
        <v>39</v>
      </c>
      <c r="M207" s="126" t="s">
        <v>271</v>
      </c>
      <c r="N207" s="126" t="s">
        <v>272</v>
      </c>
      <c r="O207" s="124" t="s">
        <v>274</v>
      </c>
      <c r="P207" s="118">
        <v>3913221.0100000002</v>
      </c>
      <c r="Q207" s="118">
        <v>0</v>
      </c>
      <c r="R207" s="118">
        <v>0</v>
      </c>
      <c r="S207" s="118">
        <f t="shared" si="26"/>
        <v>3913221.0100000002</v>
      </c>
      <c r="T207" s="118">
        <f t="shared" si="27"/>
        <v>2467.5080459045339</v>
      </c>
      <c r="U207" s="118">
        <f>AG207</f>
        <v>8874.2092689918791</v>
      </c>
      <c r="V207" s="183">
        <f t="shared" si="20"/>
        <v>6406.7012230873452</v>
      </c>
      <c r="W207" s="183"/>
      <c r="X207" s="183"/>
      <c r="Y207" s="64" t="e">
        <f t="shared" si="21"/>
        <v>#N/A</v>
      </c>
      <c r="AA207" s="64" t="e">
        <f t="shared" si="22"/>
        <v>#N/A</v>
      </c>
      <c r="AC207" s="64" t="s">
        <v>122</v>
      </c>
      <c r="AD207" s="64">
        <v>313.10000000000002</v>
      </c>
      <c r="AG207" s="64">
        <f>AH207*6191.24/J207</f>
        <v>8874.2092689918791</v>
      </c>
      <c r="AH207" s="64">
        <f t="shared" si="23"/>
        <v>2100</v>
      </c>
      <c r="AS207" s="64" t="e">
        <f t="shared" si="24"/>
        <v>#N/A</v>
      </c>
    </row>
    <row r="208" spans="1:45" s="64" customFormat="1" ht="36" customHeight="1" x14ac:dyDescent="0.9">
      <c r="A208" s="64">
        <v>1</v>
      </c>
      <c r="B208" s="92">
        <f>SUBTOTAL(103,$A$16:A208)</f>
        <v>190</v>
      </c>
      <c r="C208" s="91" t="s">
        <v>1199</v>
      </c>
      <c r="D208" s="126">
        <v>1981</v>
      </c>
      <c r="E208" s="126"/>
      <c r="F208" s="145" t="s">
        <v>326</v>
      </c>
      <c r="G208" s="126">
        <v>5</v>
      </c>
      <c r="H208" s="126">
        <v>6</v>
      </c>
      <c r="I208" s="118">
        <v>6247.1</v>
      </c>
      <c r="J208" s="118">
        <v>4719.7</v>
      </c>
      <c r="K208" s="118">
        <v>4641.3999999999996</v>
      </c>
      <c r="L208" s="127">
        <v>201</v>
      </c>
      <c r="M208" s="126" t="s">
        <v>271</v>
      </c>
      <c r="N208" s="126" t="s">
        <v>275</v>
      </c>
      <c r="O208" s="124" t="s">
        <v>1376</v>
      </c>
      <c r="P208" s="118">
        <v>3820202.75</v>
      </c>
      <c r="Q208" s="118">
        <v>0</v>
      </c>
      <c r="R208" s="118">
        <v>0</v>
      </c>
      <c r="S208" s="118">
        <f t="shared" si="26"/>
        <v>3820202.75</v>
      </c>
      <c r="T208" s="118">
        <f t="shared" si="27"/>
        <v>611.51618350914816</v>
      </c>
      <c r="U208" s="118">
        <f>Y208</f>
        <v>950.64160010244746</v>
      </c>
      <c r="V208" s="183">
        <f t="shared" si="20"/>
        <v>339.12541659329929</v>
      </c>
      <c r="W208" s="183"/>
      <c r="X208" s="183"/>
      <c r="Y208" s="64">
        <f t="shared" si="21"/>
        <v>950.64160010244746</v>
      </c>
      <c r="AA208" s="64">
        <f t="shared" si="22"/>
        <v>1137.3</v>
      </c>
      <c r="AC208" s="64" t="s">
        <v>123</v>
      </c>
      <c r="AD208" s="64">
        <v>681.29</v>
      </c>
      <c r="AH208" s="64" t="e">
        <f t="shared" si="23"/>
        <v>#N/A</v>
      </c>
      <c r="AS208" s="64" t="e">
        <f t="shared" si="24"/>
        <v>#N/A</v>
      </c>
    </row>
    <row r="209" spans="1:45" s="64" customFormat="1" ht="36" customHeight="1" x14ac:dyDescent="0.9">
      <c r="A209" s="64">
        <v>1</v>
      </c>
      <c r="B209" s="92">
        <f>SUBTOTAL(103,$A$16:A209)</f>
        <v>191</v>
      </c>
      <c r="C209" s="91" t="s">
        <v>1200</v>
      </c>
      <c r="D209" s="126" t="s">
        <v>1358</v>
      </c>
      <c r="E209" s="126"/>
      <c r="F209" s="145" t="s">
        <v>273</v>
      </c>
      <c r="G209" s="126" t="s">
        <v>311</v>
      </c>
      <c r="H209" s="126" t="s">
        <v>312</v>
      </c>
      <c r="I209" s="118">
        <v>286.8</v>
      </c>
      <c r="J209" s="118">
        <v>236.8</v>
      </c>
      <c r="K209" s="118">
        <v>236.8</v>
      </c>
      <c r="L209" s="127">
        <v>9</v>
      </c>
      <c r="M209" s="126" t="s">
        <v>271</v>
      </c>
      <c r="N209" s="126" t="s">
        <v>272</v>
      </c>
      <c r="O209" s="124" t="s">
        <v>274</v>
      </c>
      <c r="P209" s="118">
        <v>1625426.78</v>
      </c>
      <c r="Q209" s="118">
        <v>0</v>
      </c>
      <c r="R209" s="118">
        <v>0</v>
      </c>
      <c r="S209" s="118">
        <f t="shared" si="26"/>
        <v>1625426.78</v>
      </c>
      <c r="T209" s="118">
        <f t="shared" si="27"/>
        <v>5667.4573919107388</v>
      </c>
      <c r="U209" s="118">
        <f>AG209</f>
        <v>9539.9478513513495</v>
      </c>
      <c r="V209" s="183">
        <f t="shared" ref="V209:V272" si="28">U209-T209</f>
        <v>3872.4904594406107</v>
      </c>
      <c r="W209" s="183"/>
      <c r="X209" s="183"/>
      <c r="Y209" s="64" t="e">
        <f t="shared" ref="Y209:Y272" si="29">AA209*5221.8/I209</f>
        <v>#N/A</v>
      </c>
      <c r="AA209" s="64" t="e">
        <f t="shared" ref="AA209:AA272" si="30">VLOOKUP(C209,AC:AE,2,FALSE)</f>
        <v>#N/A</v>
      </c>
      <c r="AC209" s="64" t="s">
        <v>174</v>
      </c>
      <c r="AD209" s="64">
        <v>678.3</v>
      </c>
      <c r="AG209" s="64">
        <f>AH209*6191.24/J209</f>
        <v>9539.9478513513495</v>
      </c>
      <c r="AH209" s="64">
        <f t="shared" ref="AH209:AH272" si="31">VLOOKUP(C209,AJ:AK,2,FALSE)</f>
        <v>364.88</v>
      </c>
      <c r="AS209" s="64" t="e">
        <f t="shared" ref="AS209:AS272" si="32">VLOOKUP(C209,AU:AV,2,FALSE)</f>
        <v>#N/A</v>
      </c>
    </row>
    <row r="210" spans="1:45" s="64" customFormat="1" ht="36" customHeight="1" x14ac:dyDescent="0.9">
      <c r="A210" s="64">
        <v>1</v>
      </c>
      <c r="B210" s="92">
        <f>SUBTOTAL(103,$A$16:A210)</f>
        <v>192</v>
      </c>
      <c r="C210" s="91" t="s">
        <v>1201</v>
      </c>
      <c r="D210" s="126">
        <v>1979</v>
      </c>
      <c r="E210" s="126"/>
      <c r="F210" s="145" t="s">
        <v>273</v>
      </c>
      <c r="G210" s="126">
        <v>9</v>
      </c>
      <c r="H210" s="126">
        <v>12</v>
      </c>
      <c r="I210" s="118">
        <v>25677.4</v>
      </c>
      <c r="J210" s="118">
        <v>23071.200000000001</v>
      </c>
      <c r="K210" s="118">
        <v>22907.62</v>
      </c>
      <c r="L210" s="127">
        <v>888</v>
      </c>
      <c r="M210" s="126" t="s">
        <v>271</v>
      </c>
      <c r="N210" s="126" t="s">
        <v>275</v>
      </c>
      <c r="O210" s="124" t="s">
        <v>828</v>
      </c>
      <c r="P210" s="118">
        <v>4419889.76</v>
      </c>
      <c r="Q210" s="118">
        <v>0</v>
      </c>
      <c r="R210" s="118">
        <v>0</v>
      </c>
      <c r="S210" s="118">
        <f t="shared" si="26"/>
        <v>4419889.76</v>
      </c>
      <c r="T210" s="118">
        <f t="shared" si="27"/>
        <v>172.13151487300115</v>
      </c>
      <c r="U210" s="118">
        <f>AR210</f>
        <v>257.90146198602662</v>
      </c>
      <c r="V210" s="183">
        <f t="shared" si="28"/>
        <v>85.769947113025466</v>
      </c>
      <c r="W210" s="183"/>
      <c r="X210" s="183"/>
      <c r="Y210" s="64" t="e">
        <f t="shared" si="29"/>
        <v>#N/A</v>
      </c>
      <c r="AA210" s="64" t="e">
        <f t="shared" si="30"/>
        <v>#N/A</v>
      </c>
      <c r="AC210" s="64" t="s">
        <v>1624</v>
      </c>
      <c r="AD210" s="64">
        <v>172</v>
      </c>
      <c r="AH210" s="64" t="e">
        <f t="shared" si="31"/>
        <v>#N/A</v>
      </c>
      <c r="AR210" s="64">
        <f>AS210*2207413/I210</f>
        <v>257.90146198602662</v>
      </c>
      <c r="AS210" s="64">
        <f t="shared" si="32"/>
        <v>3</v>
      </c>
    </row>
    <row r="211" spans="1:45" s="64" customFormat="1" ht="36" customHeight="1" x14ac:dyDescent="0.9">
      <c r="A211" s="64">
        <v>1</v>
      </c>
      <c r="B211" s="92">
        <f>SUBTOTAL(103,$A$16:A211)</f>
        <v>193</v>
      </c>
      <c r="C211" s="91" t="s">
        <v>1202</v>
      </c>
      <c r="D211" s="126">
        <v>1949</v>
      </c>
      <c r="E211" s="126"/>
      <c r="F211" s="145" t="s">
        <v>273</v>
      </c>
      <c r="G211" s="126">
        <v>2</v>
      </c>
      <c r="H211" s="126">
        <v>1</v>
      </c>
      <c r="I211" s="118">
        <v>404.4</v>
      </c>
      <c r="J211" s="118">
        <v>347.7</v>
      </c>
      <c r="K211" s="118">
        <v>374.7</v>
      </c>
      <c r="L211" s="127">
        <v>26</v>
      </c>
      <c r="M211" s="126" t="s">
        <v>271</v>
      </c>
      <c r="N211" s="126" t="s">
        <v>275</v>
      </c>
      <c r="O211" s="124" t="s">
        <v>1330</v>
      </c>
      <c r="P211" s="118">
        <v>2299678.3200000003</v>
      </c>
      <c r="Q211" s="118">
        <v>0</v>
      </c>
      <c r="R211" s="118">
        <v>0</v>
      </c>
      <c r="S211" s="118">
        <f t="shared" si="26"/>
        <v>2299678.3200000003</v>
      </c>
      <c r="T211" s="118">
        <f t="shared" si="27"/>
        <v>5686.6427299703273</v>
      </c>
      <c r="U211" s="118">
        <f>AG211</f>
        <v>9248.5765199884954</v>
      </c>
      <c r="V211" s="183">
        <f t="shared" si="28"/>
        <v>3561.9337900181681</v>
      </c>
      <c r="W211" s="183"/>
      <c r="X211" s="183"/>
      <c r="Y211" s="64" t="e">
        <f t="shared" si="29"/>
        <v>#N/A</v>
      </c>
      <c r="AA211" s="64" t="e">
        <f t="shared" si="30"/>
        <v>#N/A</v>
      </c>
      <c r="AC211" s="64" t="s">
        <v>172</v>
      </c>
      <c r="AD211" s="64">
        <v>412.82</v>
      </c>
      <c r="AG211" s="64">
        <f>AH211*6191.24/J211</f>
        <v>9248.5765199884954</v>
      </c>
      <c r="AH211" s="64">
        <f t="shared" si="31"/>
        <v>519.4</v>
      </c>
      <c r="AS211" s="64" t="e">
        <f t="shared" si="32"/>
        <v>#N/A</v>
      </c>
    </row>
    <row r="212" spans="1:45" s="64" customFormat="1" ht="36" customHeight="1" x14ac:dyDescent="0.9">
      <c r="A212" s="64">
        <v>1</v>
      </c>
      <c r="B212" s="92">
        <f>SUBTOTAL(103,$A$16:A212)</f>
        <v>194</v>
      </c>
      <c r="C212" s="91" t="s">
        <v>1203</v>
      </c>
      <c r="D212" s="126">
        <v>1958</v>
      </c>
      <c r="E212" s="126"/>
      <c r="F212" s="145" t="s">
        <v>273</v>
      </c>
      <c r="G212" s="126">
        <v>2</v>
      </c>
      <c r="H212" s="126">
        <v>1</v>
      </c>
      <c r="I212" s="118">
        <v>294.7</v>
      </c>
      <c r="J212" s="118">
        <v>278</v>
      </c>
      <c r="K212" s="118">
        <v>278</v>
      </c>
      <c r="L212" s="127">
        <v>13</v>
      </c>
      <c r="M212" s="126" t="s">
        <v>271</v>
      </c>
      <c r="N212" s="126" t="s">
        <v>275</v>
      </c>
      <c r="O212" s="124" t="s">
        <v>1330</v>
      </c>
      <c r="P212" s="118">
        <v>2329359.0300000003</v>
      </c>
      <c r="Q212" s="118">
        <v>0</v>
      </c>
      <c r="R212" s="118">
        <v>0</v>
      </c>
      <c r="S212" s="118">
        <f t="shared" si="26"/>
        <v>2329359.0300000003</v>
      </c>
      <c r="T212" s="118">
        <f t="shared" si="27"/>
        <v>7904.170444519852</v>
      </c>
      <c r="U212" s="118">
        <f>AG212</f>
        <v>9107.1358748201437</v>
      </c>
      <c r="V212" s="183">
        <f t="shared" si="28"/>
        <v>1202.9654303002917</v>
      </c>
      <c r="W212" s="183"/>
      <c r="X212" s="183"/>
      <c r="Y212" s="64" t="e">
        <f t="shared" si="29"/>
        <v>#N/A</v>
      </c>
      <c r="AA212" s="64" t="e">
        <f t="shared" si="30"/>
        <v>#N/A</v>
      </c>
      <c r="AC212" s="64" t="s">
        <v>171</v>
      </c>
      <c r="AD212" s="64">
        <v>336.14</v>
      </c>
      <c r="AG212" s="64">
        <f>AH212*6191.24/J212</f>
        <v>9107.1358748201437</v>
      </c>
      <c r="AH212" s="64">
        <f t="shared" si="31"/>
        <v>408.93</v>
      </c>
      <c r="AS212" s="64" t="e">
        <f t="shared" si="32"/>
        <v>#N/A</v>
      </c>
    </row>
    <row r="213" spans="1:45" s="64" customFormat="1" ht="36" customHeight="1" x14ac:dyDescent="0.9">
      <c r="A213" s="64">
        <v>1</v>
      </c>
      <c r="B213" s="92">
        <f>SUBTOTAL(103,$A$16:A213)</f>
        <v>195</v>
      </c>
      <c r="C213" s="91" t="s">
        <v>1204</v>
      </c>
      <c r="D213" s="126">
        <v>1993</v>
      </c>
      <c r="E213" s="126"/>
      <c r="F213" s="145" t="s">
        <v>326</v>
      </c>
      <c r="G213" s="126">
        <v>9</v>
      </c>
      <c r="H213" s="126">
        <v>4</v>
      </c>
      <c r="I213" s="118">
        <v>10873.5</v>
      </c>
      <c r="J213" s="118">
        <v>7661.3</v>
      </c>
      <c r="K213" s="118">
        <v>7661.3</v>
      </c>
      <c r="L213" s="127">
        <v>328</v>
      </c>
      <c r="M213" s="126" t="s">
        <v>271</v>
      </c>
      <c r="N213" s="126" t="s">
        <v>275</v>
      </c>
      <c r="O213" s="124" t="s">
        <v>1377</v>
      </c>
      <c r="P213" s="118">
        <v>7889085.5</v>
      </c>
      <c r="Q213" s="118">
        <v>0</v>
      </c>
      <c r="R213" s="118">
        <v>0</v>
      </c>
      <c r="S213" s="118">
        <f t="shared" si="26"/>
        <v>7889085.5</v>
      </c>
      <c r="T213" s="118">
        <f t="shared" si="27"/>
        <v>725.53322297328373</v>
      </c>
      <c r="U213" s="118">
        <f>AR213</f>
        <v>812.03402768197907</v>
      </c>
      <c r="V213" s="183">
        <f t="shared" si="28"/>
        <v>86.500804708695341</v>
      </c>
      <c r="W213" s="183"/>
      <c r="X213" s="183"/>
      <c r="Y213" s="64" t="e">
        <f t="shared" si="29"/>
        <v>#N/A</v>
      </c>
      <c r="AA213" s="64" t="e">
        <f t="shared" si="30"/>
        <v>#N/A</v>
      </c>
      <c r="AC213" s="64" t="s">
        <v>1260</v>
      </c>
      <c r="AD213" s="64">
        <v>542.66</v>
      </c>
      <c r="AH213" s="64" t="e">
        <f t="shared" si="31"/>
        <v>#N/A</v>
      </c>
      <c r="AR213" s="64">
        <f>AS213*2207413/I213</f>
        <v>812.03402768197907</v>
      </c>
      <c r="AS213" s="64">
        <f t="shared" si="32"/>
        <v>4</v>
      </c>
    </row>
    <row r="214" spans="1:45" s="64" customFormat="1" ht="36" customHeight="1" x14ac:dyDescent="0.9">
      <c r="A214" s="64">
        <v>1</v>
      </c>
      <c r="B214" s="92">
        <f>SUBTOTAL(103,$A$16:A214)</f>
        <v>196</v>
      </c>
      <c r="C214" s="91" t="s">
        <v>1309</v>
      </c>
      <c r="D214" s="126">
        <v>1931</v>
      </c>
      <c r="E214" s="126"/>
      <c r="F214" s="145" t="s">
        <v>273</v>
      </c>
      <c r="G214" s="126">
        <v>4</v>
      </c>
      <c r="H214" s="126">
        <v>6</v>
      </c>
      <c r="I214" s="118">
        <v>4408.1000000000004</v>
      </c>
      <c r="J214" s="118">
        <v>3565.39</v>
      </c>
      <c r="K214" s="118">
        <v>2791.19</v>
      </c>
      <c r="L214" s="127">
        <v>109</v>
      </c>
      <c r="M214" s="126" t="s">
        <v>271</v>
      </c>
      <c r="N214" s="126" t="s">
        <v>275</v>
      </c>
      <c r="O214" s="124" t="s">
        <v>1386</v>
      </c>
      <c r="P214" s="118">
        <v>6417017.8600000003</v>
      </c>
      <c r="Q214" s="118">
        <v>0</v>
      </c>
      <c r="R214" s="118">
        <v>0</v>
      </c>
      <c r="S214" s="118">
        <f t="shared" si="26"/>
        <v>6417017.8600000003</v>
      </c>
      <c r="T214" s="118">
        <f t="shared" si="27"/>
        <v>1455.73327737574</v>
      </c>
      <c r="U214" s="118">
        <f>Y214</f>
        <v>1834.6842453664844</v>
      </c>
      <c r="V214" s="183">
        <f t="shared" si="28"/>
        <v>378.9509679907444</v>
      </c>
      <c r="W214" s="183"/>
      <c r="X214" s="183"/>
      <c r="Y214" s="64">
        <f t="shared" si="29"/>
        <v>1834.6842453664844</v>
      </c>
      <c r="AA214" s="64">
        <f t="shared" si="30"/>
        <v>1548.79</v>
      </c>
      <c r="AC214" s="64" t="s">
        <v>75</v>
      </c>
      <c r="AD214" s="64">
        <v>625</v>
      </c>
      <c r="AH214" s="64" t="e">
        <f t="shared" si="31"/>
        <v>#N/A</v>
      </c>
      <c r="AS214" s="64" t="e">
        <f t="shared" si="32"/>
        <v>#N/A</v>
      </c>
    </row>
    <row r="215" spans="1:45" s="64" customFormat="1" ht="36" customHeight="1" x14ac:dyDescent="0.9">
      <c r="A215" s="64">
        <v>1</v>
      </c>
      <c r="B215" s="92">
        <f>SUBTOTAL(103,$A$16:A215)</f>
        <v>197</v>
      </c>
      <c r="C215" s="91" t="s">
        <v>1401</v>
      </c>
      <c r="D215" s="126">
        <v>1986</v>
      </c>
      <c r="E215" s="126"/>
      <c r="F215" s="145" t="s">
        <v>273</v>
      </c>
      <c r="G215" s="126">
        <v>9</v>
      </c>
      <c r="H215" s="126">
        <v>9</v>
      </c>
      <c r="I215" s="118">
        <v>28272.12</v>
      </c>
      <c r="J215" s="118">
        <v>23513.1</v>
      </c>
      <c r="K215" s="118">
        <v>20084.3</v>
      </c>
      <c r="L215" s="127">
        <v>668</v>
      </c>
      <c r="M215" s="126" t="s">
        <v>271</v>
      </c>
      <c r="N215" s="126" t="s">
        <v>349</v>
      </c>
      <c r="O215" s="124" t="s">
        <v>1422</v>
      </c>
      <c r="P215" s="118">
        <v>15276776.880000001</v>
      </c>
      <c r="Q215" s="118">
        <v>0</v>
      </c>
      <c r="R215" s="118">
        <v>0</v>
      </c>
      <c r="S215" s="118">
        <f t="shared" si="26"/>
        <v>15276776.880000001</v>
      </c>
      <c r="T215" s="118">
        <f t="shared" si="27"/>
        <v>540.34776592629066</v>
      </c>
      <c r="U215" s="118">
        <f t="shared" ref="U215:U223" si="33">AR215</f>
        <v>702.69640196773366</v>
      </c>
      <c r="V215" s="183">
        <f t="shared" si="28"/>
        <v>162.348636041443</v>
      </c>
      <c r="W215" s="183"/>
      <c r="X215" s="183"/>
      <c r="Y215" s="64" t="e">
        <f t="shared" si="29"/>
        <v>#N/A</v>
      </c>
      <c r="AA215" s="64" t="e">
        <f t="shared" si="30"/>
        <v>#N/A</v>
      </c>
      <c r="AC215" s="64" t="s">
        <v>74</v>
      </c>
      <c r="AD215" s="64">
        <v>504</v>
      </c>
      <c r="AH215" s="64" t="e">
        <f t="shared" si="31"/>
        <v>#N/A</v>
      </c>
      <c r="AR215" s="64">
        <f t="shared" ref="AR215:AR223" si="34">AS215*2207413/I215</f>
        <v>702.69640196773366</v>
      </c>
      <c r="AS215" s="64">
        <f t="shared" si="32"/>
        <v>9</v>
      </c>
    </row>
    <row r="216" spans="1:45" s="64" customFormat="1" ht="36" customHeight="1" x14ac:dyDescent="0.9">
      <c r="A216" s="64">
        <v>1</v>
      </c>
      <c r="B216" s="92">
        <f>SUBTOTAL(103,$A$16:A216)</f>
        <v>198</v>
      </c>
      <c r="C216" s="91" t="s">
        <v>1417</v>
      </c>
      <c r="D216" s="126">
        <v>1986</v>
      </c>
      <c r="E216" s="126"/>
      <c r="F216" s="145" t="s">
        <v>326</v>
      </c>
      <c r="G216" s="126">
        <v>9</v>
      </c>
      <c r="H216" s="126">
        <v>3</v>
      </c>
      <c r="I216" s="118">
        <v>7745.7</v>
      </c>
      <c r="J216" s="118">
        <v>7042.6</v>
      </c>
      <c r="K216" s="118">
        <v>5847.8</v>
      </c>
      <c r="L216" s="127">
        <v>220</v>
      </c>
      <c r="M216" s="126" t="s">
        <v>271</v>
      </c>
      <c r="N216" s="126" t="s">
        <v>275</v>
      </c>
      <c r="O216" s="124" t="s">
        <v>1423</v>
      </c>
      <c r="P216" s="118">
        <v>5478127.7400000002</v>
      </c>
      <c r="Q216" s="118">
        <v>0</v>
      </c>
      <c r="R216" s="118">
        <v>0</v>
      </c>
      <c r="S216" s="118">
        <f t="shared" si="26"/>
        <v>5478127.7400000002</v>
      </c>
      <c r="T216" s="118">
        <f t="shared" si="27"/>
        <v>707.24760060420624</v>
      </c>
      <c r="U216" s="118">
        <f t="shared" si="33"/>
        <v>854.95681474882838</v>
      </c>
      <c r="V216" s="183">
        <f t="shared" si="28"/>
        <v>147.70921414462214</v>
      </c>
      <c r="W216" s="183"/>
      <c r="X216" s="183"/>
      <c r="Y216" s="64" t="e">
        <f t="shared" si="29"/>
        <v>#N/A</v>
      </c>
      <c r="AA216" s="64" t="e">
        <f t="shared" si="30"/>
        <v>#N/A</v>
      </c>
      <c r="AC216" s="64" t="s">
        <v>76</v>
      </c>
      <c r="AD216" s="64">
        <v>954</v>
      </c>
      <c r="AH216" s="64" t="e">
        <f t="shared" si="31"/>
        <v>#N/A</v>
      </c>
      <c r="AR216" s="64">
        <f t="shared" si="34"/>
        <v>854.95681474882838</v>
      </c>
      <c r="AS216" s="64">
        <f t="shared" si="32"/>
        <v>3</v>
      </c>
    </row>
    <row r="217" spans="1:45" s="64" customFormat="1" ht="36" customHeight="1" x14ac:dyDescent="0.9">
      <c r="A217" s="64">
        <v>1</v>
      </c>
      <c r="B217" s="92">
        <f>SUBTOTAL(103,$A$16:A217)</f>
        <v>199</v>
      </c>
      <c r="C217" s="91" t="s">
        <v>1418</v>
      </c>
      <c r="D217" s="126">
        <v>1986</v>
      </c>
      <c r="E217" s="126"/>
      <c r="F217" s="145" t="s">
        <v>326</v>
      </c>
      <c r="G217" s="126">
        <v>9</v>
      </c>
      <c r="H217" s="126">
        <v>4</v>
      </c>
      <c r="I217" s="118">
        <v>8861.6</v>
      </c>
      <c r="J217" s="118">
        <v>7955.2</v>
      </c>
      <c r="K217" s="118">
        <v>7895.7</v>
      </c>
      <c r="L217" s="127">
        <v>295</v>
      </c>
      <c r="M217" s="126" t="s">
        <v>271</v>
      </c>
      <c r="N217" s="126" t="s">
        <v>305</v>
      </c>
      <c r="O217" s="124" t="s">
        <v>1424</v>
      </c>
      <c r="P217" s="118">
        <v>7310851.2000000002</v>
      </c>
      <c r="Q217" s="118">
        <v>0</v>
      </c>
      <c r="R217" s="118">
        <v>0</v>
      </c>
      <c r="S217" s="118">
        <f t="shared" si="26"/>
        <v>7310851.2000000002</v>
      </c>
      <c r="T217" s="118">
        <f t="shared" si="27"/>
        <v>825.00352080888331</v>
      </c>
      <c r="U217" s="118">
        <f t="shared" si="33"/>
        <v>996.3947819806807</v>
      </c>
      <c r="V217" s="183">
        <f t="shared" si="28"/>
        <v>171.3912611717974</v>
      </c>
      <c r="W217" s="183"/>
      <c r="X217" s="183"/>
      <c r="Y217" s="64" t="e">
        <f t="shared" si="29"/>
        <v>#N/A</v>
      </c>
      <c r="AA217" s="64" t="e">
        <f t="shared" si="30"/>
        <v>#N/A</v>
      </c>
      <c r="AC217" s="64" t="s">
        <v>1264</v>
      </c>
      <c r="AD217" s="64">
        <v>975.2</v>
      </c>
      <c r="AH217" s="64" t="e">
        <f t="shared" si="31"/>
        <v>#N/A</v>
      </c>
      <c r="AR217" s="64">
        <f t="shared" si="34"/>
        <v>996.3947819806807</v>
      </c>
      <c r="AS217" s="64">
        <f t="shared" si="32"/>
        <v>4</v>
      </c>
    </row>
    <row r="218" spans="1:45" s="64" customFormat="1" ht="36" customHeight="1" x14ac:dyDescent="0.9">
      <c r="A218" s="64">
        <v>1</v>
      </c>
      <c r="B218" s="92">
        <f>SUBTOTAL(103,$A$16:A218)</f>
        <v>200</v>
      </c>
      <c r="C218" s="91" t="s">
        <v>1419</v>
      </c>
      <c r="D218" s="126">
        <v>1988</v>
      </c>
      <c r="E218" s="126"/>
      <c r="F218" s="145" t="s">
        <v>326</v>
      </c>
      <c r="G218" s="126">
        <v>9</v>
      </c>
      <c r="H218" s="126">
        <v>3</v>
      </c>
      <c r="I218" s="118">
        <v>6529.9</v>
      </c>
      <c r="J218" s="118">
        <v>5819.3</v>
      </c>
      <c r="K218" s="118">
        <v>5819.3</v>
      </c>
      <c r="L218" s="127">
        <v>281</v>
      </c>
      <c r="M218" s="126" t="s">
        <v>271</v>
      </c>
      <c r="N218" s="126" t="s">
        <v>275</v>
      </c>
      <c r="O218" s="124" t="s">
        <v>1425</v>
      </c>
      <c r="P218" s="118">
        <v>5327196</v>
      </c>
      <c r="Q218" s="118">
        <v>0</v>
      </c>
      <c r="R218" s="118">
        <v>0</v>
      </c>
      <c r="S218" s="118">
        <f t="shared" si="26"/>
        <v>5327196</v>
      </c>
      <c r="T218" s="118">
        <f t="shared" si="27"/>
        <v>815.81586241749494</v>
      </c>
      <c r="U218" s="118">
        <f t="shared" si="33"/>
        <v>1014.1409516225364</v>
      </c>
      <c r="V218" s="183">
        <f t="shared" si="28"/>
        <v>198.32508920504142</v>
      </c>
      <c r="W218" s="183"/>
      <c r="X218" s="183"/>
      <c r="Y218" s="64" t="e">
        <f t="shared" si="29"/>
        <v>#N/A</v>
      </c>
      <c r="AA218" s="64" t="e">
        <f t="shared" si="30"/>
        <v>#N/A</v>
      </c>
      <c r="AC218" s="64" t="s">
        <v>1265</v>
      </c>
      <c r="AD218" s="64">
        <v>600</v>
      </c>
      <c r="AH218" s="64" t="e">
        <f t="shared" si="31"/>
        <v>#N/A</v>
      </c>
      <c r="AR218" s="64">
        <f t="shared" si="34"/>
        <v>1014.1409516225364</v>
      </c>
      <c r="AS218" s="64">
        <f t="shared" si="32"/>
        <v>3</v>
      </c>
    </row>
    <row r="219" spans="1:45" s="64" customFormat="1" ht="36" customHeight="1" x14ac:dyDescent="0.9">
      <c r="A219" s="64">
        <v>1</v>
      </c>
      <c r="B219" s="92">
        <f>SUBTOTAL(103,$A$16:A219)</f>
        <v>201</v>
      </c>
      <c r="C219" s="91" t="s">
        <v>1420</v>
      </c>
      <c r="D219" s="126">
        <v>1986</v>
      </c>
      <c r="E219" s="126"/>
      <c r="F219" s="145" t="s">
        <v>326</v>
      </c>
      <c r="G219" s="126">
        <v>9</v>
      </c>
      <c r="H219" s="126">
        <v>4</v>
      </c>
      <c r="I219" s="118">
        <v>9402.14</v>
      </c>
      <c r="J219" s="118">
        <v>7377.1</v>
      </c>
      <c r="K219" s="118">
        <v>6958.4</v>
      </c>
      <c r="L219" s="127">
        <v>323</v>
      </c>
      <c r="M219" s="126" t="s">
        <v>271</v>
      </c>
      <c r="N219" s="126" t="s">
        <v>275</v>
      </c>
      <c r="O219" s="124" t="s">
        <v>827</v>
      </c>
      <c r="P219" s="118">
        <v>7367915.9199999999</v>
      </c>
      <c r="Q219" s="118">
        <v>0</v>
      </c>
      <c r="R219" s="118">
        <v>0</v>
      </c>
      <c r="S219" s="118">
        <f t="shared" si="26"/>
        <v>7367915.9199999999</v>
      </c>
      <c r="T219" s="118">
        <f t="shared" si="27"/>
        <v>783.64243884902805</v>
      </c>
      <c r="U219" s="118">
        <f t="shared" si="33"/>
        <v>939.11088326700099</v>
      </c>
      <c r="V219" s="183">
        <f t="shared" si="28"/>
        <v>155.46844441797293</v>
      </c>
      <c r="W219" s="183"/>
      <c r="X219" s="183"/>
      <c r="Y219" s="64" t="e">
        <f t="shared" si="29"/>
        <v>#N/A</v>
      </c>
      <c r="AA219" s="64" t="e">
        <f t="shared" si="30"/>
        <v>#N/A</v>
      </c>
      <c r="AC219" s="64" t="s">
        <v>77</v>
      </c>
      <c r="AD219" s="64">
        <v>598</v>
      </c>
      <c r="AH219" s="64" t="e">
        <f t="shared" si="31"/>
        <v>#N/A</v>
      </c>
      <c r="AR219" s="64">
        <f t="shared" si="34"/>
        <v>939.11088326700099</v>
      </c>
      <c r="AS219" s="64">
        <f t="shared" si="32"/>
        <v>4</v>
      </c>
    </row>
    <row r="220" spans="1:45" s="64" customFormat="1" ht="36" customHeight="1" x14ac:dyDescent="0.9">
      <c r="A220" s="64">
        <v>1</v>
      </c>
      <c r="B220" s="92">
        <f>SUBTOTAL(103,$A$16:A220)</f>
        <v>202</v>
      </c>
      <c r="C220" s="91" t="s">
        <v>1421</v>
      </c>
      <c r="D220" s="126">
        <v>1987</v>
      </c>
      <c r="E220" s="126"/>
      <c r="F220" s="145" t="s">
        <v>273</v>
      </c>
      <c r="G220" s="126">
        <v>9</v>
      </c>
      <c r="H220" s="126">
        <v>3</v>
      </c>
      <c r="I220" s="118">
        <v>8041.69</v>
      </c>
      <c r="J220" s="118">
        <v>5941.7</v>
      </c>
      <c r="K220" s="118">
        <v>5297.4</v>
      </c>
      <c r="L220" s="127">
        <v>206</v>
      </c>
      <c r="M220" s="126" t="s">
        <v>271</v>
      </c>
      <c r="N220" s="126" t="s">
        <v>275</v>
      </c>
      <c r="O220" s="124" t="s">
        <v>830</v>
      </c>
      <c r="P220" s="118">
        <v>5462413.6200000001</v>
      </c>
      <c r="Q220" s="118">
        <v>0</v>
      </c>
      <c r="R220" s="118">
        <v>0</v>
      </c>
      <c r="S220" s="118">
        <f t="shared" si="26"/>
        <v>5462413.6200000001</v>
      </c>
      <c r="T220" s="118">
        <f t="shared" si="27"/>
        <v>679.26189892920524</v>
      </c>
      <c r="U220" s="118">
        <f t="shared" si="33"/>
        <v>823.488470707028</v>
      </c>
      <c r="V220" s="183">
        <f t="shared" si="28"/>
        <v>144.22657177782276</v>
      </c>
      <c r="W220" s="183"/>
      <c r="X220" s="183"/>
      <c r="Y220" s="64" t="e">
        <f t="shared" si="29"/>
        <v>#N/A</v>
      </c>
      <c r="AA220" s="64" t="e">
        <f t="shared" si="30"/>
        <v>#N/A</v>
      </c>
      <c r="AC220" s="64" t="s">
        <v>108</v>
      </c>
      <c r="AD220" s="64">
        <v>596.4</v>
      </c>
      <c r="AH220" s="64" t="e">
        <f t="shared" si="31"/>
        <v>#N/A</v>
      </c>
      <c r="AR220" s="64">
        <f t="shared" si="34"/>
        <v>823.488470707028</v>
      </c>
      <c r="AS220" s="64">
        <f t="shared" si="32"/>
        <v>3</v>
      </c>
    </row>
    <row r="221" spans="1:45" s="64" customFormat="1" ht="36" customHeight="1" x14ac:dyDescent="0.9">
      <c r="A221" s="64">
        <v>1</v>
      </c>
      <c r="B221" s="92">
        <f>SUBTOTAL(103,$A$16:A221)</f>
        <v>203</v>
      </c>
      <c r="C221" s="91" t="s">
        <v>1587</v>
      </c>
      <c r="D221" s="126">
        <v>1986</v>
      </c>
      <c r="E221" s="126"/>
      <c r="F221" s="145" t="s">
        <v>273</v>
      </c>
      <c r="G221" s="126">
        <v>9</v>
      </c>
      <c r="H221" s="126">
        <v>1</v>
      </c>
      <c r="I221" s="118">
        <v>6210.09</v>
      </c>
      <c r="J221" s="118">
        <v>3555.69</v>
      </c>
      <c r="K221" s="118">
        <v>3353.49</v>
      </c>
      <c r="L221" s="127">
        <v>294</v>
      </c>
      <c r="M221" s="126" t="s">
        <v>271</v>
      </c>
      <c r="N221" s="126" t="s">
        <v>275</v>
      </c>
      <c r="O221" s="124" t="s">
        <v>1423</v>
      </c>
      <c r="P221" s="118">
        <v>1965007.88</v>
      </c>
      <c r="Q221" s="118">
        <v>0</v>
      </c>
      <c r="R221" s="118">
        <v>0</v>
      </c>
      <c r="S221" s="118">
        <f>P221-R221-Q221</f>
        <v>1965007.88</v>
      </c>
      <c r="T221" s="118">
        <f t="shared" si="27"/>
        <v>316.42180387079736</v>
      </c>
      <c r="U221" s="118">
        <f t="shared" si="33"/>
        <v>355.45587906133403</v>
      </c>
      <c r="V221" s="183">
        <f t="shared" si="28"/>
        <v>39.034075190536669</v>
      </c>
      <c r="W221" s="183"/>
      <c r="X221" s="183"/>
      <c r="Y221" s="64" t="e">
        <f t="shared" si="29"/>
        <v>#N/A</v>
      </c>
      <c r="AA221" s="64" t="e">
        <f t="shared" si="30"/>
        <v>#N/A</v>
      </c>
      <c r="AC221" s="64" t="s">
        <v>110</v>
      </c>
      <c r="AD221" s="64">
        <v>936.1</v>
      </c>
      <c r="AH221" s="64" t="e">
        <f t="shared" si="31"/>
        <v>#N/A</v>
      </c>
      <c r="AR221" s="64">
        <f t="shared" si="34"/>
        <v>355.45587906133403</v>
      </c>
      <c r="AS221" s="64">
        <f t="shared" si="32"/>
        <v>1</v>
      </c>
    </row>
    <row r="222" spans="1:45" s="64" customFormat="1" ht="36" customHeight="1" x14ac:dyDescent="0.9">
      <c r="A222" s="64">
        <v>1</v>
      </c>
      <c r="B222" s="92">
        <f>SUBTOTAL(103,$A$16:A222)</f>
        <v>204</v>
      </c>
      <c r="C222" s="91" t="s">
        <v>1588</v>
      </c>
      <c r="D222" s="126">
        <v>1984</v>
      </c>
      <c r="E222" s="126"/>
      <c r="F222" s="145" t="s">
        <v>326</v>
      </c>
      <c r="G222" s="126">
        <v>9</v>
      </c>
      <c r="H222" s="126">
        <v>2</v>
      </c>
      <c r="I222" s="118">
        <v>4373.8</v>
      </c>
      <c r="J222" s="118">
        <v>3897.5</v>
      </c>
      <c r="K222" s="118">
        <v>3897.5</v>
      </c>
      <c r="L222" s="127">
        <v>156</v>
      </c>
      <c r="M222" s="126" t="s">
        <v>271</v>
      </c>
      <c r="N222" s="126" t="s">
        <v>275</v>
      </c>
      <c r="O222" s="124" t="s">
        <v>1423</v>
      </c>
      <c r="P222" s="118">
        <v>3944749.01</v>
      </c>
      <c r="Q222" s="118">
        <v>0</v>
      </c>
      <c r="R222" s="118">
        <v>0</v>
      </c>
      <c r="S222" s="118">
        <f>P222-R222-Q222</f>
        <v>3944749.01</v>
      </c>
      <c r="T222" s="118">
        <f t="shared" si="27"/>
        <v>901.90429603548398</v>
      </c>
      <c r="U222" s="118">
        <f t="shared" si="33"/>
        <v>1009.3799442132699</v>
      </c>
      <c r="V222" s="183">
        <f t="shared" si="28"/>
        <v>107.47564817778596</v>
      </c>
      <c r="W222" s="183"/>
      <c r="X222" s="183"/>
      <c r="Y222" s="64" t="e">
        <f t="shared" si="29"/>
        <v>#N/A</v>
      </c>
      <c r="AA222" s="64" t="e">
        <f t="shared" si="30"/>
        <v>#N/A</v>
      </c>
      <c r="AC222" s="64" t="s">
        <v>1267</v>
      </c>
      <c r="AD222" s="64">
        <v>807.4</v>
      </c>
      <c r="AH222" s="64" t="e">
        <f t="shared" si="31"/>
        <v>#N/A</v>
      </c>
      <c r="AR222" s="64">
        <f t="shared" si="34"/>
        <v>1009.3799442132699</v>
      </c>
      <c r="AS222" s="64">
        <f t="shared" si="32"/>
        <v>2</v>
      </c>
    </row>
    <row r="223" spans="1:45" s="64" customFormat="1" ht="36" customHeight="1" x14ac:dyDescent="0.9">
      <c r="A223" s="64">
        <v>1</v>
      </c>
      <c r="B223" s="92">
        <f>SUBTOTAL(103,$A$16:A223)</f>
        <v>205</v>
      </c>
      <c r="C223" s="91" t="s">
        <v>1589</v>
      </c>
      <c r="D223" s="126">
        <v>1984</v>
      </c>
      <c r="E223" s="126"/>
      <c r="F223" s="145" t="s">
        <v>326</v>
      </c>
      <c r="G223" s="126">
        <v>9</v>
      </c>
      <c r="H223" s="126">
        <v>3</v>
      </c>
      <c r="I223" s="118">
        <v>7442.2</v>
      </c>
      <c r="J223" s="118">
        <v>5845.6</v>
      </c>
      <c r="K223" s="118">
        <v>5845.6</v>
      </c>
      <c r="L223" s="127">
        <v>233</v>
      </c>
      <c r="M223" s="126" t="s">
        <v>271</v>
      </c>
      <c r="N223" s="126" t="s">
        <v>275</v>
      </c>
      <c r="O223" s="124" t="s">
        <v>1628</v>
      </c>
      <c r="P223" s="118">
        <v>4419587</v>
      </c>
      <c r="Q223" s="118">
        <v>0</v>
      </c>
      <c r="R223" s="118">
        <v>0</v>
      </c>
      <c r="S223" s="118">
        <f>P223-R223-Q223</f>
        <v>4419587</v>
      </c>
      <c r="T223" s="118">
        <f t="shared" si="27"/>
        <v>593.85490849479993</v>
      </c>
      <c r="U223" s="118">
        <f t="shared" si="33"/>
        <v>889.82276746123455</v>
      </c>
      <c r="V223" s="183">
        <f t="shared" si="28"/>
        <v>295.96785896643462</v>
      </c>
      <c r="W223" s="183"/>
      <c r="X223" s="183"/>
      <c r="Y223" s="64" t="e">
        <f t="shared" si="29"/>
        <v>#N/A</v>
      </c>
      <c r="AA223" s="64" t="e">
        <f t="shared" si="30"/>
        <v>#N/A</v>
      </c>
      <c r="AC223" s="64" t="s">
        <v>1269</v>
      </c>
      <c r="AD223" s="64">
        <v>335</v>
      </c>
      <c r="AH223" s="64" t="e">
        <f t="shared" si="31"/>
        <v>#N/A</v>
      </c>
      <c r="AR223" s="64">
        <f t="shared" si="34"/>
        <v>889.82276746123455</v>
      </c>
      <c r="AS223" s="64">
        <f t="shared" si="32"/>
        <v>3</v>
      </c>
    </row>
    <row r="224" spans="1:45" s="64" customFormat="1" ht="36" customHeight="1" x14ac:dyDescent="0.9">
      <c r="B224" s="91" t="s">
        <v>783</v>
      </c>
      <c r="C224" s="172"/>
      <c r="D224" s="126" t="s">
        <v>916</v>
      </c>
      <c r="E224" s="126" t="s">
        <v>916</v>
      </c>
      <c r="F224" s="126" t="s">
        <v>916</v>
      </c>
      <c r="G224" s="126" t="s">
        <v>916</v>
      </c>
      <c r="H224" s="126" t="s">
        <v>916</v>
      </c>
      <c r="I224" s="117">
        <f>SUM(I225:I230)</f>
        <v>42084.039999999994</v>
      </c>
      <c r="J224" s="117">
        <f>SUM(J225:J230)</f>
        <v>37181.1</v>
      </c>
      <c r="K224" s="117">
        <f>SUM(K225:K230)</f>
        <v>32818.75</v>
      </c>
      <c r="L224" s="127">
        <f>SUM(L225:L230)</f>
        <v>1883</v>
      </c>
      <c r="M224" s="126" t="s">
        <v>916</v>
      </c>
      <c r="N224" s="126" t="s">
        <v>916</v>
      </c>
      <c r="O224" s="124" t="s">
        <v>916</v>
      </c>
      <c r="P224" s="117">
        <v>51784138.459999993</v>
      </c>
      <c r="Q224" s="117">
        <f>SUM(Q225:Q230)</f>
        <v>0</v>
      </c>
      <c r="R224" s="117">
        <f>SUM(R225:R230)</f>
        <v>0</v>
      </c>
      <c r="S224" s="117">
        <f>SUM(S225:S230)</f>
        <v>51784138.459999993</v>
      </c>
      <c r="T224" s="118">
        <f t="shared" si="27"/>
        <v>1230.4935186830921</v>
      </c>
      <c r="U224" s="118">
        <f>MAX(U225:U230)</f>
        <v>4905.3762952448551</v>
      </c>
      <c r="V224" s="183">
        <f t="shared" si="28"/>
        <v>3674.882776561763</v>
      </c>
      <c r="W224" s="183"/>
      <c r="X224" s="183"/>
      <c r="Y224" s="64" t="e">
        <f t="shared" si="29"/>
        <v>#N/A</v>
      </c>
      <c r="AA224" s="64" t="e">
        <f t="shared" si="30"/>
        <v>#N/A</v>
      </c>
      <c r="AC224" s="64" t="s">
        <v>40</v>
      </c>
      <c r="AD224" s="64">
        <v>1110</v>
      </c>
      <c r="AH224" s="64" t="e">
        <f t="shared" si="31"/>
        <v>#N/A</v>
      </c>
      <c r="AS224" s="64" t="e">
        <f t="shared" si="32"/>
        <v>#N/A</v>
      </c>
    </row>
    <row r="225" spans="1:45" s="64" customFormat="1" ht="36" customHeight="1" x14ac:dyDescent="0.9">
      <c r="A225" s="64">
        <v>1</v>
      </c>
      <c r="B225" s="92">
        <f>SUBTOTAL(103,$A$16:A225)</f>
        <v>206</v>
      </c>
      <c r="C225" s="91" t="s">
        <v>389</v>
      </c>
      <c r="D225" s="126">
        <v>1976</v>
      </c>
      <c r="E225" s="126">
        <v>2016</v>
      </c>
      <c r="F225" s="145" t="s">
        <v>319</v>
      </c>
      <c r="G225" s="126">
        <v>14</v>
      </c>
      <c r="H225" s="126">
        <v>1</v>
      </c>
      <c r="I225" s="118">
        <v>4634.7</v>
      </c>
      <c r="J225" s="118">
        <v>4158.8</v>
      </c>
      <c r="K225" s="118">
        <v>3879.6</v>
      </c>
      <c r="L225" s="127">
        <v>198</v>
      </c>
      <c r="M225" s="126" t="s">
        <v>271</v>
      </c>
      <c r="N225" s="126" t="s">
        <v>275</v>
      </c>
      <c r="O225" s="124" t="s">
        <v>327</v>
      </c>
      <c r="P225" s="118">
        <v>2106413.2999999998</v>
      </c>
      <c r="Q225" s="118">
        <v>0</v>
      </c>
      <c r="R225" s="118">
        <v>0</v>
      </c>
      <c r="S225" s="118">
        <f>P225-Q225-R225</f>
        <v>2106413.2999999998</v>
      </c>
      <c r="T225" s="118">
        <f t="shared" si="27"/>
        <v>454.48751807020949</v>
      </c>
      <c r="U225" s="118">
        <f>T225</f>
        <v>454.48751807020949</v>
      </c>
      <c r="V225" s="183">
        <f t="shared" si="28"/>
        <v>0</v>
      </c>
      <c r="W225" s="183"/>
      <c r="X225" s="183"/>
      <c r="Y225" s="64">
        <f t="shared" si="29"/>
        <v>435.12183312835782</v>
      </c>
      <c r="AA225" s="64">
        <f t="shared" si="30"/>
        <v>386.2</v>
      </c>
      <c r="AC225" s="64" t="s">
        <v>63</v>
      </c>
      <c r="AD225" s="64">
        <v>1420</v>
      </c>
      <c r="AH225" s="64" t="e">
        <f t="shared" si="31"/>
        <v>#N/A</v>
      </c>
      <c r="AS225" s="64" t="e">
        <f t="shared" si="32"/>
        <v>#N/A</v>
      </c>
    </row>
    <row r="226" spans="1:45" s="64" customFormat="1" ht="36" customHeight="1" x14ac:dyDescent="0.9">
      <c r="A226" s="64">
        <v>1</v>
      </c>
      <c r="B226" s="92">
        <f>SUBTOTAL(103,$A$16:A226)</f>
        <v>207</v>
      </c>
      <c r="C226" s="91" t="s">
        <v>390</v>
      </c>
      <c r="D226" s="126">
        <v>1983</v>
      </c>
      <c r="E226" s="126">
        <v>2016</v>
      </c>
      <c r="F226" s="145" t="s">
        <v>319</v>
      </c>
      <c r="G226" s="126">
        <v>5</v>
      </c>
      <c r="H226" s="126">
        <v>5</v>
      </c>
      <c r="I226" s="118">
        <v>3913.2000000000003</v>
      </c>
      <c r="J226" s="118">
        <v>3443.4</v>
      </c>
      <c r="K226" s="118">
        <v>3334.1</v>
      </c>
      <c r="L226" s="127">
        <v>163</v>
      </c>
      <c r="M226" s="126" t="s">
        <v>271</v>
      </c>
      <c r="N226" s="126" t="s">
        <v>275</v>
      </c>
      <c r="O226" s="124" t="s">
        <v>327</v>
      </c>
      <c r="P226" s="118">
        <v>6116065.7300000004</v>
      </c>
      <c r="Q226" s="118">
        <v>0</v>
      </c>
      <c r="R226" s="118">
        <v>0</v>
      </c>
      <c r="S226" s="118">
        <f>P226-Q226-R226</f>
        <v>6116065.7300000004</v>
      </c>
      <c r="T226" s="118">
        <f t="shared" si="27"/>
        <v>1562.932058162118</v>
      </c>
      <c r="U226" s="118">
        <f>AG226</f>
        <v>4535.2801812162397</v>
      </c>
      <c r="V226" s="183">
        <f t="shared" si="28"/>
        <v>2972.348123054122</v>
      </c>
      <c r="W226" s="183"/>
      <c r="X226" s="183"/>
      <c r="Y226" s="64" t="e">
        <f t="shared" si="29"/>
        <v>#N/A</v>
      </c>
      <c r="AA226" s="64" t="e">
        <f t="shared" si="30"/>
        <v>#N/A</v>
      </c>
      <c r="AC226" s="64" t="s">
        <v>1602</v>
      </c>
      <c r="AD226" s="64">
        <v>1331</v>
      </c>
      <c r="AG226" s="64">
        <f>AH226*6191.24/J226</f>
        <v>4535.2801812162397</v>
      </c>
      <c r="AH226" s="64">
        <f t="shared" si="31"/>
        <v>2522.4</v>
      </c>
      <c r="AS226" s="64" t="e">
        <f t="shared" si="32"/>
        <v>#N/A</v>
      </c>
    </row>
    <row r="227" spans="1:45" s="64" customFormat="1" ht="36" customHeight="1" x14ac:dyDescent="0.9">
      <c r="A227" s="64">
        <v>1</v>
      </c>
      <c r="B227" s="92">
        <f>SUBTOTAL(103,$A$16:A227)</f>
        <v>208</v>
      </c>
      <c r="C227" s="91" t="s">
        <v>391</v>
      </c>
      <c r="D227" s="126">
        <v>1980</v>
      </c>
      <c r="E227" s="126">
        <v>2015</v>
      </c>
      <c r="F227" s="145" t="s">
        <v>319</v>
      </c>
      <c r="G227" s="126">
        <v>9</v>
      </c>
      <c r="H227" s="126">
        <v>5</v>
      </c>
      <c r="I227" s="118">
        <v>12180.699999999999</v>
      </c>
      <c r="J227" s="118">
        <v>10849.3</v>
      </c>
      <c r="K227" s="118">
        <v>10778.1</v>
      </c>
      <c r="L227" s="127">
        <v>498</v>
      </c>
      <c r="M227" s="126" t="s">
        <v>271</v>
      </c>
      <c r="N227" s="126" t="s">
        <v>275</v>
      </c>
      <c r="O227" s="124" t="s">
        <v>327</v>
      </c>
      <c r="P227" s="118">
        <v>14511124.540000001</v>
      </c>
      <c r="Q227" s="118">
        <v>0</v>
      </c>
      <c r="R227" s="118">
        <v>0</v>
      </c>
      <c r="S227" s="118">
        <f>P227-Q227-R227</f>
        <v>14511124.540000001</v>
      </c>
      <c r="T227" s="118">
        <f t="shared" si="27"/>
        <v>1191.3210685756978</v>
      </c>
      <c r="U227" s="118">
        <f>AG227</f>
        <v>4905.3762952448551</v>
      </c>
      <c r="V227" s="183">
        <f t="shared" si="28"/>
        <v>3714.0552266691575</v>
      </c>
      <c r="W227" s="183"/>
      <c r="X227" s="183"/>
      <c r="Y227" s="64" t="e">
        <f t="shared" si="29"/>
        <v>#N/A</v>
      </c>
      <c r="AA227" s="64" t="e">
        <f t="shared" si="30"/>
        <v>#N/A</v>
      </c>
      <c r="AC227" s="64" t="s">
        <v>52</v>
      </c>
      <c r="AD227" s="64">
        <v>1361</v>
      </c>
      <c r="AG227" s="64">
        <f>AH227*6191.24/J227</f>
        <v>4905.3762952448551</v>
      </c>
      <c r="AH227" s="64">
        <f t="shared" si="31"/>
        <v>8596</v>
      </c>
      <c r="AS227" s="64" t="e">
        <f t="shared" si="32"/>
        <v>#N/A</v>
      </c>
    </row>
    <row r="228" spans="1:45" s="64" customFormat="1" ht="36" customHeight="1" x14ac:dyDescent="0.9">
      <c r="A228" s="64">
        <v>1</v>
      </c>
      <c r="B228" s="92">
        <f>SUBTOTAL(103,$A$16:A228)</f>
        <v>209</v>
      </c>
      <c r="C228" s="91" t="s">
        <v>1205</v>
      </c>
      <c r="D228" s="126">
        <v>1979</v>
      </c>
      <c r="E228" s="126">
        <v>2016</v>
      </c>
      <c r="F228" s="145" t="s">
        <v>326</v>
      </c>
      <c r="G228" s="126">
        <v>9</v>
      </c>
      <c r="H228" s="126">
        <v>4</v>
      </c>
      <c r="I228" s="118">
        <v>7780.54</v>
      </c>
      <c r="J228" s="118">
        <v>7022.3</v>
      </c>
      <c r="K228" s="118">
        <v>6468.65</v>
      </c>
      <c r="L228" s="127">
        <v>388</v>
      </c>
      <c r="M228" s="126" t="s">
        <v>271</v>
      </c>
      <c r="N228" s="126" t="s">
        <v>275</v>
      </c>
      <c r="O228" s="124" t="s">
        <v>327</v>
      </c>
      <c r="P228" s="118">
        <v>16346897.049999999</v>
      </c>
      <c r="Q228" s="118">
        <v>0</v>
      </c>
      <c r="R228" s="118">
        <v>0</v>
      </c>
      <c r="S228" s="118">
        <f>P228-Q228-R228</f>
        <v>16346897.049999999</v>
      </c>
      <c r="T228" s="118">
        <f t="shared" si="27"/>
        <v>2100.9977520840453</v>
      </c>
      <c r="U228" s="118">
        <v>3929.63</v>
      </c>
      <c r="V228" s="183">
        <f t="shared" si="28"/>
        <v>1828.6322479159548</v>
      </c>
      <c r="W228" s="183"/>
      <c r="X228" s="183"/>
      <c r="Y228" s="64" t="e">
        <f t="shared" si="29"/>
        <v>#N/A</v>
      </c>
      <c r="AA228" s="64" t="e">
        <f t="shared" si="30"/>
        <v>#N/A</v>
      </c>
      <c r="AC228" s="64" t="s">
        <v>47</v>
      </c>
      <c r="AD228" s="64">
        <v>626.70000000000005</v>
      </c>
      <c r="AH228" s="64" t="e">
        <f t="shared" si="31"/>
        <v>#N/A</v>
      </c>
      <c r="AS228" s="64" t="e">
        <f t="shared" si="32"/>
        <v>#N/A</v>
      </c>
    </row>
    <row r="229" spans="1:45" s="64" customFormat="1" ht="36" customHeight="1" x14ac:dyDescent="0.9">
      <c r="A229" s="64">
        <v>1</v>
      </c>
      <c r="B229" s="92">
        <f>SUBTOTAL(103,$A$16:A229)</f>
        <v>210</v>
      </c>
      <c r="C229" s="91" t="s">
        <v>1206</v>
      </c>
      <c r="D229" s="126">
        <v>1985</v>
      </c>
      <c r="E229" s="126">
        <v>2018</v>
      </c>
      <c r="F229" s="145" t="s">
        <v>273</v>
      </c>
      <c r="G229" s="126">
        <v>9</v>
      </c>
      <c r="H229" s="126">
        <v>1</v>
      </c>
      <c r="I229" s="118">
        <v>4711.6000000000004</v>
      </c>
      <c r="J229" s="118">
        <v>3875.8</v>
      </c>
      <c r="K229" s="118">
        <v>955.8</v>
      </c>
      <c r="L229" s="127">
        <v>354</v>
      </c>
      <c r="M229" s="126" t="s">
        <v>271</v>
      </c>
      <c r="N229" s="126" t="s">
        <v>275</v>
      </c>
      <c r="O229" s="124" t="s">
        <v>1378</v>
      </c>
      <c r="P229" s="118">
        <v>4570000</v>
      </c>
      <c r="Q229" s="118">
        <v>0</v>
      </c>
      <c r="R229" s="118">
        <v>0</v>
      </c>
      <c r="S229" s="118">
        <f>P229-Q229-R229</f>
        <v>4570000</v>
      </c>
      <c r="T229" s="118">
        <f t="shared" si="27"/>
        <v>969.94651498429403</v>
      </c>
      <c r="U229" s="118">
        <f>T229</f>
        <v>969.94651498429403</v>
      </c>
      <c r="V229" s="183">
        <f t="shared" si="28"/>
        <v>0</v>
      </c>
      <c r="W229" s="183"/>
      <c r="X229" s="183"/>
      <c r="Y229" s="64" t="e">
        <f t="shared" si="29"/>
        <v>#N/A</v>
      </c>
      <c r="AA229" s="64" t="e">
        <f t="shared" si="30"/>
        <v>#N/A</v>
      </c>
      <c r="AC229" s="64" t="s">
        <v>821</v>
      </c>
      <c r="AD229" s="64">
        <v>644</v>
      </c>
      <c r="AH229" s="64" t="e">
        <f t="shared" si="31"/>
        <v>#N/A</v>
      </c>
      <c r="AR229" s="64">
        <f>AS229*2207413/I229</f>
        <v>937.0120553527463</v>
      </c>
      <c r="AS229" s="64">
        <f t="shared" si="32"/>
        <v>2</v>
      </c>
    </row>
    <row r="230" spans="1:45" s="64" customFormat="1" ht="36" customHeight="1" x14ac:dyDescent="0.9">
      <c r="A230" s="64">
        <v>1</v>
      </c>
      <c r="B230" s="92">
        <f>SUBTOTAL(103,$A$16:A230)</f>
        <v>211</v>
      </c>
      <c r="C230" s="91" t="s">
        <v>1606</v>
      </c>
      <c r="D230" s="126">
        <v>1971</v>
      </c>
      <c r="E230" s="126">
        <v>2015</v>
      </c>
      <c r="F230" s="145" t="s">
        <v>273</v>
      </c>
      <c r="G230" s="126">
        <v>9</v>
      </c>
      <c r="H230" s="126">
        <v>4</v>
      </c>
      <c r="I230" s="118">
        <v>8863.2999999999993</v>
      </c>
      <c r="J230" s="118">
        <v>7831.5</v>
      </c>
      <c r="K230" s="118">
        <v>7402.5</v>
      </c>
      <c r="L230" s="127">
        <v>282</v>
      </c>
      <c r="M230" s="126" t="s">
        <v>271</v>
      </c>
      <c r="N230" s="126" t="s">
        <v>275</v>
      </c>
      <c r="O230" s="124" t="s">
        <v>1378</v>
      </c>
      <c r="P230" s="118">
        <v>8133637.8399999999</v>
      </c>
      <c r="Q230" s="118">
        <v>0</v>
      </c>
      <c r="R230" s="118">
        <v>0</v>
      </c>
      <c r="S230" s="118">
        <f>P230-R230-Q230</f>
        <v>8133637.8399999999</v>
      </c>
      <c r="T230" s="118">
        <f t="shared" si="27"/>
        <v>917.67601683345936</v>
      </c>
      <c r="U230" s="118">
        <f>AR230</f>
        <v>996.20367131880914</v>
      </c>
      <c r="V230" s="183">
        <f t="shared" si="28"/>
        <v>78.527654485349785</v>
      </c>
      <c r="W230" s="183"/>
      <c r="X230" s="183"/>
      <c r="Y230" s="64" t="e">
        <f t="shared" si="29"/>
        <v>#N/A</v>
      </c>
      <c r="AA230" s="64" t="e">
        <f t="shared" si="30"/>
        <v>#N/A</v>
      </c>
      <c r="AC230" s="64" t="s">
        <v>44</v>
      </c>
      <c r="AD230" s="64">
        <v>631</v>
      </c>
      <c r="AH230" s="64" t="e">
        <f t="shared" si="31"/>
        <v>#N/A</v>
      </c>
      <c r="AR230" s="64">
        <f>AS230*2207413/I230</f>
        <v>996.20367131880914</v>
      </c>
      <c r="AS230" s="64">
        <f t="shared" si="32"/>
        <v>4</v>
      </c>
    </row>
    <row r="231" spans="1:45" s="64" customFormat="1" ht="36" customHeight="1" x14ac:dyDescent="0.9">
      <c r="B231" s="91" t="s">
        <v>840</v>
      </c>
      <c r="C231" s="172"/>
      <c r="D231" s="126" t="s">
        <v>916</v>
      </c>
      <c r="E231" s="126" t="s">
        <v>916</v>
      </c>
      <c r="F231" s="126" t="s">
        <v>916</v>
      </c>
      <c r="G231" s="126" t="s">
        <v>916</v>
      </c>
      <c r="H231" s="126" t="s">
        <v>916</v>
      </c>
      <c r="I231" s="117">
        <f>SUM(I232:I258)</f>
        <v>88594.11</v>
      </c>
      <c r="J231" s="117">
        <f>SUM(J232:J258)</f>
        <v>70533.58</v>
      </c>
      <c r="K231" s="117">
        <f>SUM(K232:K258)</f>
        <v>68546.800000000017</v>
      </c>
      <c r="L231" s="127">
        <f>SUM(L232:L258)</f>
        <v>3358</v>
      </c>
      <c r="M231" s="126" t="s">
        <v>916</v>
      </c>
      <c r="N231" s="126" t="s">
        <v>916</v>
      </c>
      <c r="O231" s="124" t="s">
        <v>916</v>
      </c>
      <c r="P231" s="117">
        <v>103026578.48000002</v>
      </c>
      <c r="Q231" s="117">
        <f>SUM(Q232:Q258)</f>
        <v>0</v>
      </c>
      <c r="R231" s="117">
        <f>SUM(R232:R258)</f>
        <v>0</v>
      </c>
      <c r="S231" s="117">
        <f>SUM(S232:S258)</f>
        <v>103026578.48000002</v>
      </c>
      <c r="T231" s="118">
        <f t="shared" si="27"/>
        <v>1162.9055078266492</v>
      </c>
      <c r="U231" s="118">
        <f>MAX(U232:U258)</f>
        <v>15092.214137825418</v>
      </c>
      <c r="V231" s="183">
        <f t="shared" si="28"/>
        <v>13929.30862999877</v>
      </c>
      <c r="W231" s="183"/>
      <c r="X231" s="183"/>
      <c r="Y231" s="64" t="e">
        <f t="shared" si="29"/>
        <v>#N/A</v>
      </c>
      <c r="AA231" s="64" t="e">
        <f t="shared" si="30"/>
        <v>#N/A</v>
      </c>
      <c r="AC231" s="64" t="s">
        <v>43</v>
      </c>
      <c r="AD231" s="64">
        <v>566</v>
      </c>
      <c r="AH231" s="64" t="e">
        <f t="shared" si="31"/>
        <v>#N/A</v>
      </c>
      <c r="AS231" s="64" t="e">
        <f t="shared" si="32"/>
        <v>#N/A</v>
      </c>
    </row>
    <row r="232" spans="1:45" s="64" customFormat="1" ht="36" customHeight="1" x14ac:dyDescent="0.9">
      <c r="A232" s="64">
        <v>1</v>
      </c>
      <c r="B232" s="92">
        <f>SUBTOTAL(103,$A$16:A232)</f>
        <v>212</v>
      </c>
      <c r="C232" s="91" t="s">
        <v>634</v>
      </c>
      <c r="D232" s="126">
        <v>1987</v>
      </c>
      <c r="E232" s="126"/>
      <c r="F232" s="145" t="s">
        <v>273</v>
      </c>
      <c r="G232" s="126">
        <v>10</v>
      </c>
      <c r="H232" s="126">
        <v>1</v>
      </c>
      <c r="I232" s="118">
        <v>3669.9</v>
      </c>
      <c r="J232" s="118">
        <v>1997.7</v>
      </c>
      <c r="K232" s="118">
        <v>1997.7</v>
      </c>
      <c r="L232" s="127">
        <v>156</v>
      </c>
      <c r="M232" s="126" t="s">
        <v>271</v>
      </c>
      <c r="N232" s="126" t="s">
        <v>349</v>
      </c>
      <c r="O232" s="124" t="s">
        <v>727</v>
      </c>
      <c r="P232" s="118">
        <v>4514092.07</v>
      </c>
      <c r="Q232" s="118">
        <v>0</v>
      </c>
      <c r="R232" s="118">
        <v>0</v>
      </c>
      <c r="S232" s="118">
        <f t="shared" ref="S232:S257" si="35">P232-Q232-R232</f>
        <v>4514092.07</v>
      </c>
      <c r="T232" s="118">
        <f t="shared" si="27"/>
        <v>1230.0313550777951</v>
      </c>
      <c r="U232" s="118">
        <f>T232</f>
        <v>1230.0313550777951</v>
      </c>
      <c r="V232" s="183">
        <f t="shared" si="28"/>
        <v>0</v>
      </c>
      <c r="W232" s="183"/>
      <c r="X232" s="183"/>
      <c r="Y232" s="64" t="e">
        <f t="shared" si="29"/>
        <v>#N/A</v>
      </c>
      <c r="AA232" s="64" t="e">
        <f t="shared" si="30"/>
        <v>#N/A</v>
      </c>
      <c r="AC232" s="64" t="s">
        <v>45</v>
      </c>
      <c r="AD232" s="64">
        <v>562</v>
      </c>
      <c r="AH232" s="64" t="e">
        <f t="shared" si="31"/>
        <v>#N/A</v>
      </c>
      <c r="AR232" s="64">
        <f>AS232*2174091/I232</f>
        <v>1184.8230197008093</v>
      </c>
      <c r="AS232" s="64">
        <f t="shared" si="32"/>
        <v>2</v>
      </c>
    </row>
    <row r="233" spans="1:45" s="64" customFormat="1" ht="36" customHeight="1" x14ac:dyDescent="0.9">
      <c r="A233" s="64">
        <v>1</v>
      </c>
      <c r="B233" s="92">
        <f>SUBTOTAL(103,$A$16:A233)</f>
        <v>213</v>
      </c>
      <c r="C233" s="91" t="s">
        <v>639</v>
      </c>
      <c r="D233" s="126">
        <v>1967</v>
      </c>
      <c r="E233" s="126"/>
      <c r="F233" s="145" t="s">
        <v>273</v>
      </c>
      <c r="G233" s="126">
        <v>5</v>
      </c>
      <c r="H233" s="126">
        <v>4</v>
      </c>
      <c r="I233" s="118">
        <v>3578.24</v>
      </c>
      <c r="J233" s="118">
        <v>3578.24</v>
      </c>
      <c r="K233" s="118">
        <v>3012.01</v>
      </c>
      <c r="L233" s="127">
        <v>120</v>
      </c>
      <c r="M233" s="126" t="s">
        <v>271</v>
      </c>
      <c r="N233" s="126" t="s">
        <v>275</v>
      </c>
      <c r="O233" s="124" t="s">
        <v>728</v>
      </c>
      <c r="P233" s="118">
        <v>6206854.4400000004</v>
      </c>
      <c r="Q233" s="118">
        <v>0</v>
      </c>
      <c r="R233" s="118">
        <v>0</v>
      </c>
      <c r="S233" s="118">
        <f t="shared" si="35"/>
        <v>6206854.4400000004</v>
      </c>
      <c r="T233" s="118">
        <f t="shared" si="27"/>
        <v>1734.6109931139333</v>
      </c>
      <c r="U233" s="118">
        <v>1763.0451601904847</v>
      </c>
      <c r="V233" s="183">
        <f t="shared" si="28"/>
        <v>28.434167076551375</v>
      </c>
      <c r="W233" s="183"/>
      <c r="X233" s="183"/>
      <c r="Y233" s="64" t="e">
        <f t="shared" si="29"/>
        <v>#N/A</v>
      </c>
      <c r="AA233" s="64" t="e">
        <f t="shared" si="30"/>
        <v>#N/A</v>
      </c>
      <c r="AC233" s="64" t="s">
        <v>1281</v>
      </c>
      <c r="AD233" s="64">
        <v>454</v>
      </c>
      <c r="AH233" s="64" t="e">
        <f t="shared" si="31"/>
        <v>#N/A</v>
      </c>
      <c r="AS233" s="64" t="e">
        <f t="shared" si="32"/>
        <v>#N/A</v>
      </c>
    </row>
    <row r="234" spans="1:45" s="64" customFormat="1" ht="36" customHeight="1" x14ac:dyDescent="0.9">
      <c r="A234" s="64">
        <v>1</v>
      </c>
      <c r="B234" s="92">
        <f>SUBTOTAL(103,$A$16:A234)</f>
        <v>214</v>
      </c>
      <c r="C234" s="91" t="s">
        <v>640</v>
      </c>
      <c r="D234" s="126">
        <v>1965</v>
      </c>
      <c r="E234" s="126"/>
      <c r="F234" s="145" t="s">
        <v>273</v>
      </c>
      <c r="G234" s="126">
        <v>5</v>
      </c>
      <c r="H234" s="126">
        <v>2</v>
      </c>
      <c r="I234" s="118">
        <v>4985.66</v>
      </c>
      <c r="J234" s="118">
        <v>2300.6799999999998</v>
      </c>
      <c r="K234" s="118">
        <v>2300.6799999999998</v>
      </c>
      <c r="L234" s="127">
        <v>202</v>
      </c>
      <c r="M234" s="126" t="s">
        <v>271</v>
      </c>
      <c r="N234" s="126" t="s">
        <v>275</v>
      </c>
      <c r="O234" s="124" t="s">
        <v>729</v>
      </c>
      <c r="P234" s="118">
        <v>12453169.640000001</v>
      </c>
      <c r="Q234" s="118">
        <v>0</v>
      </c>
      <c r="R234" s="118">
        <v>0</v>
      </c>
      <c r="S234" s="118">
        <f t="shared" si="35"/>
        <v>12453169.640000001</v>
      </c>
      <c r="T234" s="118">
        <f t="shared" si="27"/>
        <v>2497.7976115499255</v>
      </c>
      <c r="U234" s="118">
        <f>AG234</f>
        <v>5322.8926752090683</v>
      </c>
      <c r="V234" s="183">
        <f t="shared" si="28"/>
        <v>2825.0950636591429</v>
      </c>
      <c r="W234" s="183"/>
      <c r="X234" s="183"/>
      <c r="Y234" s="64" t="e">
        <f t="shared" si="29"/>
        <v>#N/A</v>
      </c>
      <c r="AA234" s="64" t="e">
        <f t="shared" si="30"/>
        <v>#N/A</v>
      </c>
      <c r="AC234" s="64" t="s">
        <v>42</v>
      </c>
      <c r="AD234" s="64">
        <v>595</v>
      </c>
      <c r="AG234" s="64">
        <f>AH234*6191.24/J234</f>
        <v>5322.8926752090683</v>
      </c>
      <c r="AH234" s="64">
        <f t="shared" si="31"/>
        <v>1978</v>
      </c>
      <c r="AS234" s="64" t="e">
        <f t="shared" si="32"/>
        <v>#N/A</v>
      </c>
    </row>
    <row r="235" spans="1:45" s="64" customFormat="1" ht="36" customHeight="1" x14ac:dyDescent="0.9">
      <c r="A235" s="64">
        <v>1</v>
      </c>
      <c r="B235" s="92">
        <f>SUBTOTAL(103,$A$16:A235)</f>
        <v>215</v>
      </c>
      <c r="C235" s="91" t="s">
        <v>643</v>
      </c>
      <c r="D235" s="126">
        <v>1993</v>
      </c>
      <c r="E235" s="126"/>
      <c r="F235" s="145" t="s">
        <v>319</v>
      </c>
      <c r="G235" s="126">
        <v>9</v>
      </c>
      <c r="H235" s="126">
        <v>2</v>
      </c>
      <c r="I235" s="118">
        <v>5060.3</v>
      </c>
      <c r="J235" s="118">
        <v>2946.8</v>
      </c>
      <c r="K235" s="118">
        <v>2946.8</v>
      </c>
      <c r="L235" s="127">
        <v>281</v>
      </c>
      <c r="M235" s="126" t="s">
        <v>271</v>
      </c>
      <c r="N235" s="126" t="s">
        <v>275</v>
      </c>
      <c r="O235" s="124" t="s">
        <v>730</v>
      </c>
      <c r="P235" s="118">
        <v>4304343</v>
      </c>
      <c r="Q235" s="118">
        <v>0</v>
      </c>
      <c r="R235" s="118">
        <v>0</v>
      </c>
      <c r="S235" s="118">
        <f t="shared" si="35"/>
        <v>4304343</v>
      </c>
      <c r="T235" s="118">
        <f t="shared" si="27"/>
        <v>850.61024049957507</v>
      </c>
      <c r="U235" s="118">
        <f>AR235</f>
        <v>872.44353101594766</v>
      </c>
      <c r="V235" s="183">
        <f t="shared" si="28"/>
        <v>21.833290516372585</v>
      </c>
      <c r="W235" s="183"/>
      <c r="X235" s="183"/>
      <c r="Y235" s="64" t="e">
        <f t="shared" si="29"/>
        <v>#N/A</v>
      </c>
      <c r="AA235" s="64" t="e">
        <f t="shared" si="30"/>
        <v>#N/A</v>
      </c>
      <c r="AC235" s="64" t="s">
        <v>1604</v>
      </c>
      <c r="AD235" s="64">
        <v>747.3</v>
      </c>
      <c r="AH235" s="64" t="e">
        <f t="shared" si="31"/>
        <v>#N/A</v>
      </c>
      <c r="AR235" s="64">
        <f>AS235*2207413/I235</f>
        <v>872.44353101594766</v>
      </c>
      <c r="AS235" s="64">
        <f t="shared" si="32"/>
        <v>2</v>
      </c>
    </row>
    <row r="236" spans="1:45" s="64" customFormat="1" ht="36" customHeight="1" x14ac:dyDescent="0.9">
      <c r="A236" s="64">
        <v>1</v>
      </c>
      <c r="B236" s="92">
        <f>SUBTOTAL(103,$A$16:A236)</f>
        <v>216</v>
      </c>
      <c r="C236" s="91" t="s">
        <v>645</v>
      </c>
      <c r="D236" s="126">
        <v>1959</v>
      </c>
      <c r="E236" s="126"/>
      <c r="F236" s="145" t="s">
        <v>273</v>
      </c>
      <c r="G236" s="126">
        <v>2</v>
      </c>
      <c r="H236" s="126">
        <v>2</v>
      </c>
      <c r="I236" s="118">
        <v>606.79999999999995</v>
      </c>
      <c r="J236" s="118">
        <v>525.79999999999995</v>
      </c>
      <c r="K236" s="118">
        <v>525.79999999999995</v>
      </c>
      <c r="L236" s="127">
        <v>29</v>
      </c>
      <c r="M236" s="126" t="s">
        <v>271</v>
      </c>
      <c r="N236" s="126" t="s">
        <v>275</v>
      </c>
      <c r="O236" s="124" t="s">
        <v>728</v>
      </c>
      <c r="P236" s="118">
        <v>2597044.75</v>
      </c>
      <c r="Q236" s="118">
        <v>0</v>
      </c>
      <c r="R236" s="118">
        <v>0</v>
      </c>
      <c r="S236" s="118">
        <f t="shared" si="35"/>
        <v>2597044.75</v>
      </c>
      <c r="T236" s="118">
        <f t="shared" si="27"/>
        <v>4279.902356624918</v>
      </c>
      <c r="U236" s="118">
        <f>T236</f>
        <v>4279.902356624918</v>
      </c>
      <c r="V236" s="183">
        <f t="shared" si="28"/>
        <v>0</v>
      </c>
      <c r="W236" s="183"/>
      <c r="X236" s="183"/>
      <c r="Y236" s="64">
        <f t="shared" si="29"/>
        <v>4184.5825411997366</v>
      </c>
      <c r="AA236" s="64">
        <f t="shared" si="30"/>
        <v>486.27</v>
      </c>
      <c r="AC236" s="64" t="s">
        <v>50</v>
      </c>
      <c r="AD236" s="64">
        <v>867.3</v>
      </c>
      <c r="AH236" s="64" t="e">
        <f t="shared" si="31"/>
        <v>#N/A</v>
      </c>
      <c r="AS236" s="64" t="e">
        <f t="shared" si="32"/>
        <v>#N/A</v>
      </c>
    </row>
    <row r="237" spans="1:45" s="64" customFormat="1" ht="36" customHeight="1" x14ac:dyDescent="0.9">
      <c r="A237" s="64">
        <v>1</v>
      </c>
      <c r="B237" s="92">
        <f>SUBTOTAL(103,$A$16:A237)</f>
        <v>217</v>
      </c>
      <c r="C237" s="91" t="s">
        <v>648</v>
      </c>
      <c r="D237" s="126">
        <v>1965</v>
      </c>
      <c r="E237" s="126"/>
      <c r="F237" s="145" t="s">
        <v>273</v>
      </c>
      <c r="G237" s="126">
        <v>5</v>
      </c>
      <c r="H237" s="126">
        <v>2</v>
      </c>
      <c r="I237" s="118">
        <v>2026.2</v>
      </c>
      <c r="J237" s="118">
        <v>1565.4</v>
      </c>
      <c r="K237" s="118">
        <v>1565.4</v>
      </c>
      <c r="L237" s="127">
        <v>104</v>
      </c>
      <c r="M237" s="126" t="s">
        <v>271</v>
      </c>
      <c r="N237" s="126" t="s">
        <v>275</v>
      </c>
      <c r="O237" s="124" t="s">
        <v>730</v>
      </c>
      <c r="P237" s="118">
        <v>3150844.62</v>
      </c>
      <c r="Q237" s="118">
        <v>0</v>
      </c>
      <c r="R237" s="118">
        <v>0</v>
      </c>
      <c r="S237" s="118">
        <f t="shared" si="35"/>
        <v>3150844.62</v>
      </c>
      <c r="T237" s="118">
        <f t="shared" si="27"/>
        <v>1555.0511400651467</v>
      </c>
      <c r="U237" s="118">
        <f>T237</f>
        <v>1555.0511400651467</v>
      </c>
      <c r="V237" s="183">
        <f t="shared" si="28"/>
        <v>0</v>
      </c>
      <c r="W237" s="183"/>
      <c r="X237" s="183"/>
      <c r="Y237" s="64">
        <f t="shared" si="29"/>
        <v>1512.0077287533315</v>
      </c>
      <c r="AA237" s="64">
        <f t="shared" si="30"/>
        <v>586.70000000000005</v>
      </c>
      <c r="AC237" s="64" t="s">
        <v>48</v>
      </c>
      <c r="AD237" s="64">
        <v>652.70000000000005</v>
      </c>
      <c r="AH237" s="64" t="e">
        <f t="shared" si="31"/>
        <v>#N/A</v>
      </c>
      <c r="AS237" s="64" t="e">
        <f t="shared" si="32"/>
        <v>#N/A</v>
      </c>
    </row>
    <row r="238" spans="1:45" s="64" customFormat="1" ht="36" customHeight="1" x14ac:dyDescent="0.9">
      <c r="A238" s="64">
        <v>1</v>
      </c>
      <c r="B238" s="92">
        <f>SUBTOTAL(103,$A$16:A238)</f>
        <v>218</v>
      </c>
      <c r="C238" s="91" t="s">
        <v>649</v>
      </c>
      <c r="D238" s="126">
        <v>1963</v>
      </c>
      <c r="E238" s="126"/>
      <c r="F238" s="145" t="s">
        <v>273</v>
      </c>
      <c r="G238" s="126">
        <v>2</v>
      </c>
      <c r="H238" s="126">
        <v>1</v>
      </c>
      <c r="I238" s="118">
        <v>429.2</v>
      </c>
      <c r="J238" s="118">
        <v>388.96</v>
      </c>
      <c r="K238" s="118">
        <v>388.96</v>
      </c>
      <c r="L238" s="127">
        <v>13</v>
      </c>
      <c r="M238" s="126" t="s">
        <v>271</v>
      </c>
      <c r="N238" s="126" t="s">
        <v>275</v>
      </c>
      <c r="O238" s="124" t="s">
        <v>731</v>
      </c>
      <c r="P238" s="118">
        <v>1519430.92</v>
      </c>
      <c r="Q238" s="118">
        <v>0</v>
      </c>
      <c r="R238" s="118">
        <v>0</v>
      </c>
      <c r="S238" s="118">
        <f t="shared" si="35"/>
        <v>1519430.92</v>
      </c>
      <c r="T238" s="118">
        <f t="shared" si="27"/>
        <v>3540.1465983224602</v>
      </c>
      <c r="U238" s="118">
        <f>Y238</f>
        <v>4678.6938676607642</v>
      </c>
      <c r="V238" s="183">
        <f t="shared" si="28"/>
        <v>1138.547269338304</v>
      </c>
      <c r="W238" s="183"/>
      <c r="X238" s="183"/>
      <c r="Y238" s="64">
        <f t="shared" si="29"/>
        <v>4678.6938676607642</v>
      </c>
      <c r="AA238" s="64">
        <f t="shared" si="30"/>
        <v>384.56</v>
      </c>
      <c r="AC238" s="64" t="s">
        <v>49</v>
      </c>
      <c r="AD238" s="64">
        <v>896.9</v>
      </c>
      <c r="AH238" s="64" t="e">
        <f t="shared" si="31"/>
        <v>#N/A</v>
      </c>
      <c r="AS238" s="64" t="e">
        <f t="shared" si="32"/>
        <v>#N/A</v>
      </c>
    </row>
    <row r="239" spans="1:45" s="64" customFormat="1" ht="36" customHeight="1" x14ac:dyDescent="0.9">
      <c r="A239" s="64">
        <v>1</v>
      </c>
      <c r="B239" s="92">
        <f>SUBTOTAL(103,$A$16:A239)</f>
        <v>219</v>
      </c>
      <c r="C239" s="91" t="s">
        <v>650</v>
      </c>
      <c r="D239" s="126">
        <v>1987</v>
      </c>
      <c r="E239" s="126"/>
      <c r="F239" s="145" t="s">
        <v>273</v>
      </c>
      <c r="G239" s="126">
        <v>9</v>
      </c>
      <c r="H239" s="126">
        <v>2</v>
      </c>
      <c r="I239" s="118">
        <v>7472.7</v>
      </c>
      <c r="J239" s="118">
        <v>7472.7</v>
      </c>
      <c r="K239" s="118">
        <v>7472.7</v>
      </c>
      <c r="L239" s="127">
        <v>180</v>
      </c>
      <c r="M239" s="126" t="s">
        <v>271</v>
      </c>
      <c r="N239" s="126" t="s">
        <v>289</v>
      </c>
      <c r="O239" s="124" t="s">
        <v>274</v>
      </c>
      <c r="P239" s="118">
        <v>2058152.04</v>
      </c>
      <c r="Q239" s="118">
        <v>0</v>
      </c>
      <c r="R239" s="118">
        <v>0</v>
      </c>
      <c r="S239" s="118">
        <f t="shared" si="35"/>
        <v>2058152.04</v>
      </c>
      <c r="T239" s="118">
        <f t="shared" si="27"/>
        <v>275.42281103215709</v>
      </c>
      <c r="U239" s="118">
        <f>AR239</f>
        <v>295.39697833447082</v>
      </c>
      <c r="V239" s="183">
        <f t="shared" si="28"/>
        <v>19.974167302313731</v>
      </c>
      <c r="W239" s="183"/>
      <c r="X239" s="183"/>
      <c r="Y239" s="64" t="e">
        <f t="shared" si="29"/>
        <v>#N/A</v>
      </c>
      <c r="AA239" s="64" t="e">
        <f t="shared" si="30"/>
        <v>#N/A</v>
      </c>
      <c r="AC239" s="64" t="s">
        <v>51</v>
      </c>
      <c r="AD239" s="64">
        <v>681</v>
      </c>
      <c r="AH239" s="64" t="e">
        <f t="shared" si="31"/>
        <v>#N/A</v>
      </c>
      <c r="AR239" s="64">
        <f>AS239*2207413/I239</f>
        <v>295.39697833447082</v>
      </c>
      <c r="AS239" s="64">
        <f t="shared" si="32"/>
        <v>1</v>
      </c>
    </row>
    <row r="240" spans="1:45" s="64" customFormat="1" ht="36" customHeight="1" x14ac:dyDescent="0.9">
      <c r="A240" s="64">
        <v>1</v>
      </c>
      <c r="B240" s="92">
        <f>SUBTOTAL(103,$A$16:A240)</f>
        <v>220</v>
      </c>
      <c r="C240" s="91" t="s">
        <v>652</v>
      </c>
      <c r="D240" s="126">
        <v>1917</v>
      </c>
      <c r="E240" s="126"/>
      <c r="F240" s="145" t="s">
        <v>273</v>
      </c>
      <c r="G240" s="126">
        <v>2</v>
      </c>
      <c r="H240" s="126">
        <v>1</v>
      </c>
      <c r="I240" s="118">
        <v>237.3</v>
      </c>
      <c r="J240" s="118">
        <v>207.2</v>
      </c>
      <c r="K240" s="118">
        <v>207.2</v>
      </c>
      <c r="L240" s="127">
        <v>13</v>
      </c>
      <c r="M240" s="126" t="s">
        <v>271</v>
      </c>
      <c r="N240" s="126" t="s">
        <v>272</v>
      </c>
      <c r="O240" s="124" t="s">
        <v>274</v>
      </c>
      <c r="P240" s="118">
        <v>1094145.4000000001</v>
      </c>
      <c r="Q240" s="118">
        <v>0</v>
      </c>
      <c r="R240" s="118">
        <v>0</v>
      </c>
      <c r="S240" s="118">
        <f t="shared" si="35"/>
        <v>1094145.4000000001</v>
      </c>
      <c r="T240" s="118">
        <f t="shared" si="27"/>
        <v>4610.8107880320276</v>
      </c>
      <c r="U240" s="118">
        <f>Y240</f>
        <v>5281.2136536030339</v>
      </c>
      <c r="V240" s="183">
        <f t="shared" si="28"/>
        <v>670.40286557100626</v>
      </c>
      <c r="W240" s="183"/>
      <c r="X240" s="183"/>
      <c r="Y240" s="64">
        <f t="shared" si="29"/>
        <v>5281.2136536030339</v>
      </c>
      <c r="AA240" s="64">
        <f t="shared" si="30"/>
        <v>240</v>
      </c>
      <c r="AC240" s="64" t="s">
        <v>1275</v>
      </c>
      <c r="AD240" s="64">
        <v>678.5</v>
      </c>
      <c r="AH240" s="64" t="e">
        <f t="shared" si="31"/>
        <v>#N/A</v>
      </c>
      <c r="AS240" s="64" t="e">
        <f t="shared" si="32"/>
        <v>#N/A</v>
      </c>
    </row>
    <row r="241" spans="1:45" s="64" customFormat="1" ht="36" customHeight="1" x14ac:dyDescent="0.9">
      <c r="A241" s="64">
        <v>1</v>
      </c>
      <c r="B241" s="92">
        <f>SUBTOTAL(103,$A$16:A241)</f>
        <v>221</v>
      </c>
      <c r="C241" s="91" t="s">
        <v>656</v>
      </c>
      <c r="D241" s="126">
        <v>1972</v>
      </c>
      <c r="E241" s="126"/>
      <c r="F241" s="145" t="s">
        <v>273</v>
      </c>
      <c r="G241" s="126">
        <v>5</v>
      </c>
      <c r="H241" s="126">
        <v>1</v>
      </c>
      <c r="I241" s="118">
        <v>1651.99</v>
      </c>
      <c r="J241" s="118">
        <v>1219.19</v>
      </c>
      <c r="K241" s="118">
        <v>1219.19</v>
      </c>
      <c r="L241" s="127">
        <v>231</v>
      </c>
      <c r="M241" s="126" t="s">
        <v>271</v>
      </c>
      <c r="N241" s="126" t="s">
        <v>349</v>
      </c>
      <c r="O241" s="124" t="s">
        <v>732</v>
      </c>
      <c r="P241" s="118">
        <v>1846706.18</v>
      </c>
      <c r="Q241" s="118">
        <v>0</v>
      </c>
      <c r="R241" s="118">
        <v>0</v>
      </c>
      <c r="S241" s="118">
        <f t="shared" si="35"/>
        <v>1846706.18</v>
      </c>
      <c r="T241" s="118">
        <f t="shared" si="27"/>
        <v>1117.8676505305721</v>
      </c>
      <c r="U241" s="118">
        <f>Y241</f>
        <v>1779.9112464361165</v>
      </c>
      <c r="V241" s="183">
        <f t="shared" si="28"/>
        <v>662.04359590554441</v>
      </c>
      <c r="W241" s="183"/>
      <c r="X241" s="183"/>
      <c r="Y241" s="64">
        <f t="shared" si="29"/>
        <v>1779.9112464361165</v>
      </c>
      <c r="AA241" s="64">
        <f t="shared" si="30"/>
        <v>563.1</v>
      </c>
      <c r="AC241" s="64" t="s">
        <v>1276</v>
      </c>
      <c r="AD241" s="64">
        <v>1278.8</v>
      </c>
      <c r="AH241" s="64" t="e">
        <f t="shared" si="31"/>
        <v>#N/A</v>
      </c>
      <c r="AS241" s="64" t="e">
        <f t="shared" si="32"/>
        <v>#N/A</v>
      </c>
    </row>
    <row r="242" spans="1:45" s="64" customFormat="1" ht="36" customHeight="1" x14ac:dyDescent="0.9">
      <c r="A242" s="64">
        <v>1</v>
      </c>
      <c r="B242" s="92">
        <f>SUBTOTAL(103,$A$16:A242)</f>
        <v>222</v>
      </c>
      <c r="C242" s="91" t="s">
        <v>1121</v>
      </c>
      <c r="D242" s="126">
        <v>1965</v>
      </c>
      <c r="E242" s="126"/>
      <c r="F242" s="145" t="s">
        <v>273</v>
      </c>
      <c r="G242" s="126">
        <v>5</v>
      </c>
      <c r="H242" s="126">
        <v>4</v>
      </c>
      <c r="I242" s="118">
        <v>3471.4</v>
      </c>
      <c r="J242" s="118">
        <v>3417.4</v>
      </c>
      <c r="K242" s="118">
        <v>3143.9</v>
      </c>
      <c r="L242" s="127">
        <v>208</v>
      </c>
      <c r="M242" s="126" t="s">
        <v>271</v>
      </c>
      <c r="N242" s="126" t="s">
        <v>275</v>
      </c>
      <c r="O242" s="124" t="s">
        <v>730</v>
      </c>
      <c r="P242" s="118">
        <v>6172822.9000000004</v>
      </c>
      <c r="Q242" s="118">
        <v>0</v>
      </c>
      <c r="R242" s="118">
        <v>0</v>
      </c>
      <c r="S242" s="118">
        <f t="shared" si="35"/>
        <v>6172822.9000000004</v>
      </c>
      <c r="T242" s="118">
        <f t="shared" si="27"/>
        <v>1778.1940715561445</v>
      </c>
      <c r="U242" s="118">
        <f>T242</f>
        <v>1778.1940715561445</v>
      </c>
      <c r="V242" s="183">
        <f t="shared" si="28"/>
        <v>0</v>
      </c>
      <c r="W242" s="183"/>
      <c r="X242" s="183"/>
      <c r="Y242" s="64">
        <f t="shared" si="29"/>
        <v>1353.8111424785388</v>
      </c>
      <c r="AA242" s="64">
        <f t="shared" si="30"/>
        <v>900</v>
      </c>
      <c r="AC242" s="64" t="s">
        <v>1278</v>
      </c>
      <c r="AD242" s="64">
        <v>225.04</v>
      </c>
      <c r="AH242" s="64" t="e">
        <f t="shared" si="31"/>
        <v>#N/A</v>
      </c>
      <c r="AS242" s="64" t="e">
        <f t="shared" si="32"/>
        <v>#N/A</v>
      </c>
    </row>
    <row r="243" spans="1:45" s="64" customFormat="1" ht="36" customHeight="1" x14ac:dyDescent="0.9">
      <c r="A243" s="64">
        <v>1</v>
      </c>
      <c r="B243" s="92">
        <f>SUBTOTAL(103,$A$16:A243)</f>
        <v>223</v>
      </c>
      <c r="C243" s="91" t="s">
        <v>1207</v>
      </c>
      <c r="D243" s="126" t="s">
        <v>1344</v>
      </c>
      <c r="E243" s="126"/>
      <c r="F243" s="145" t="s">
        <v>319</v>
      </c>
      <c r="G243" s="126" t="s">
        <v>366</v>
      </c>
      <c r="H243" s="126" t="s">
        <v>311</v>
      </c>
      <c r="I243" s="118">
        <v>4238.3</v>
      </c>
      <c r="J243" s="118">
        <v>3715.7</v>
      </c>
      <c r="K243" s="118">
        <v>3797</v>
      </c>
      <c r="L243" s="127">
        <v>139</v>
      </c>
      <c r="M243" s="126" t="s">
        <v>271</v>
      </c>
      <c r="N243" s="126" t="s">
        <v>275</v>
      </c>
      <c r="O243" s="124" t="s">
        <v>1345</v>
      </c>
      <c r="P243" s="118">
        <v>1036792.7000000001</v>
      </c>
      <c r="Q243" s="118">
        <v>0</v>
      </c>
      <c r="R243" s="118">
        <v>0</v>
      </c>
      <c r="S243" s="118">
        <f t="shared" si="35"/>
        <v>1036792.7000000001</v>
      </c>
      <c r="T243" s="118">
        <f t="shared" si="27"/>
        <v>244.62466083099358</v>
      </c>
      <c r="U243" s="118">
        <f>Y243</f>
        <v>665.92334190595284</v>
      </c>
      <c r="V243" s="183">
        <f t="shared" si="28"/>
        <v>421.29868107495929</v>
      </c>
      <c r="W243" s="183"/>
      <c r="X243" s="183"/>
      <c r="Y243" s="64">
        <f t="shared" si="29"/>
        <v>665.92334190595284</v>
      </c>
      <c r="AA243" s="64">
        <f t="shared" si="30"/>
        <v>540.5</v>
      </c>
      <c r="AC243" s="64" t="s">
        <v>1279</v>
      </c>
      <c r="AD243" s="64">
        <v>337</v>
      </c>
      <c r="AH243" s="64" t="e">
        <f t="shared" si="31"/>
        <v>#N/A</v>
      </c>
      <c r="AS243" s="64" t="e">
        <f t="shared" si="32"/>
        <v>#N/A</v>
      </c>
    </row>
    <row r="244" spans="1:45" s="64" customFormat="1" ht="36" customHeight="1" x14ac:dyDescent="0.9">
      <c r="A244" s="64">
        <v>1</v>
      </c>
      <c r="B244" s="92">
        <f>SUBTOTAL(103,$A$16:A244)</f>
        <v>224</v>
      </c>
      <c r="C244" s="91" t="s">
        <v>1208</v>
      </c>
      <c r="D244" s="126" t="s">
        <v>317</v>
      </c>
      <c r="E244" s="126"/>
      <c r="F244" s="145" t="s">
        <v>273</v>
      </c>
      <c r="G244" s="126" t="s">
        <v>320</v>
      </c>
      <c r="H244" s="126" t="s">
        <v>311</v>
      </c>
      <c r="I244" s="118">
        <v>1681.3</v>
      </c>
      <c r="J244" s="118">
        <v>1080.3</v>
      </c>
      <c r="K244" s="118">
        <v>880.4</v>
      </c>
      <c r="L244" s="127">
        <v>62</v>
      </c>
      <c r="M244" s="126" t="s">
        <v>271</v>
      </c>
      <c r="N244" s="126" t="s">
        <v>275</v>
      </c>
      <c r="O244" s="124" t="s">
        <v>1346</v>
      </c>
      <c r="P244" s="118">
        <v>3426545.11</v>
      </c>
      <c r="Q244" s="118">
        <v>0</v>
      </c>
      <c r="R244" s="118">
        <v>0</v>
      </c>
      <c r="S244" s="118">
        <f t="shared" si="35"/>
        <v>3426545.11</v>
      </c>
      <c r="T244" s="118">
        <f t="shared" si="27"/>
        <v>2038.0331350740498</v>
      </c>
      <c r="U244" s="118">
        <f>T244</f>
        <v>2038.0331350740498</v>
      </c>
      <c r="V244" s="183">
        <f t="shared" si="28"/>
        <v>0</v>
      </c>
      <c r="W244" s="183"/>
      <c r="X244" s="183"/>
      <c r="Y244" s="64">
        <f t="shared" si="29"/>
        <v>1874.3569261880689</v>
      </c>
      <c r="AA244" s="64">
        <f t="shared" si="30"/>
        <v>603.5</v>
      </c>
      <c r="AC244" s="64" t="s">
        <v>1283</v>
      </c>
      <c r="AD244" s="64">
        <v>511.8</v>
      </c>
      <c r="AH244" s="64" t="e">
        <f t="shared" si="31"/>
        <v>#N/A</v>
      </c>
      <c r="AS244" s="64" t="e">
        <f t="shared" si="32"/>
        <v>#N/A</v>
      </c>
    </row>
    <row r="245" spans="1:45" s="64" customFormat="1" ht="36" customHeight="1" x14ac:dyDescent="0.9">
      <c r="A245" s="64">
        <v>1</v>
      </c>
      <c r="B245" s="92">
        <f>SUBTOTAL(103,$A$16:A245)</f>
        <v>225</v>
      </c>
      <c r="C245" s="91" t="s">
        <v>1209</v>
      </c>
      <c r="D245" s="126">
        <v>1959</v>
      </c>
      <c r="E245" s="126"/>
      <c r="F245" s="145" t="s">
        <v>273</v>
      </c>
      <c r="G245" s="126">
        <v>5</v>
      </c>
      <c r="H245" s="126">
        <v>5</v>
      </c>
      <c r="I245" s="118">
        <v>4642.6499999999996</v>
      </c>
      <c r="J245" s="118">
        <v>4206.49</v>
      </c>
      <c r="K245" s="118">
        <v>3767.59</v>
      </c>
      <c r="L245" s="127">
        <v>111</v>
      </c>
      <c r="M245" s="126" t="s">
        <v>271</v>
      </c>
      <c r="N245" s="126" t="s">
        <v>275</v>
      </c>
      <c r="O245" s="124" t="s">
        <v>1347</v>
      </c>
      <c r="P245" s="118">
        <v>8907316.4199999999</v>
      </c>
      <c r="Q245" s="118">
        <v>0</v>
      </c>
      <c r="R245" s="118">
        <v>0</v>
      </c>
      <c r="S245" s="118">
        <f t="shared" si="35"/>
        <v>8907316.4199999999</v>
      </c>
      <c r="T245" s="118">
        <f t="shared" si="27"/>
        <v>1918.5845196170292</v>
      </c>
      <c r="U245" s="118">
        <f>T245</f>
        <v>1918.5845196170292</v>
      </c>
      <c r="V245" s="183">
        <f t="shared" si="28"/>
        <v>0</v>
      </c>
      <c r="W245" s="183"/>
      <c r="X245" s="183"/>
      <c r="Y245" s="64">
        <f t="shared" si="29"/>
        <v>1855.8301831927888</v>
      </c>
      <c r="AA245" s="64">
        <f t="shared" si="30"/>
        <v>1650</v>
      </c>
      <c r="AC245" s="64" t="s">
        <v>1603</v>
      </c>
      <c r="AD245" s="64">
        <v>837.3</v>
      </c>
      <c r="AH245" s="64" t="e">
        <f t="shared" si="31"/>
        <v>#N/A</v>
      </c>
      <c r="AS245" s="64" t="e">
        <f t="shared" si="32"/>
        <v>#N/A</v>
      </c>
    </row>
    <row r="246" spans="1:45" s="64" customFormat="1" ht="36" customHeight="1" x14ac:dyDescent="0.9">
      <c r="A246" s="64">
        <v>1</v>
      </c>
      <c r="B246" s="92">
        <f>SUBTOTAL(103,$A$16:A246)</f>
        <v>226</v>
      </c>
      <c r="C246" s="91" t="s">
        <v>1210</v>
      </c>
      <c r="D246" s="126">
        <v>1956</v>
      </c>
      <c r="E246" s="126"/>
      <c r="F246" s="145" t="s">
        <v>273</v>
      </c>
      <c r="G246" s="126">
        <v>2</v>
      </c>
      <c r="H246" s="126">
        <v>2</v>
      </c>
      <c r="I246" s="118">
        <v>471.5</v>
      </c>
      <c r="J246" s="118">
        <v>326.5</v>
      </c>
      <c r="K246" s="118">
        <v>326.5</v>
      </c>
      <c r="L246" s="127">
        <v>24</v>
      </c>
      <c r="M246" s="126" t="s">
        <v>271</v>
      </c>
      <c r="N246" s="126" t="s">
        <v>275</v>
      </c>
      <c r="O246" s="124" t="s">
        <v>731</v>
      </c>
      <c r="P246" s="118">
        <v>1815587.49</v>
      </c>
      <c r="Q246" s="118">
        <v>0</v>
      </c>
      <c r="R246" s="118">
        <v>0</v>
      </c>
      <c r="S246" s="118">
        <f t="shared" si="35"/>
        <v>1815587.49</v>
      </c>
      <c r="T246" s="118">
        <f t="shared" si="27"/>
        <v>3850.6627571580061</v>
      </c>
      <c r="U246" s="118">
        <f>AG246</f>
        <v>15092.214137825418</v>
      </c>
      <c r="V246" s="183">
        <f t="shared" si="28"/>
        <v>11241.551380667412</v>
      </c>
      <c r="W246" s="183"/>
      <c r="X246" s="183"/>
      <c r="Y246" s="64" t="e">
        <f t="shared" si="29"/>
        <v>#N/A</v>
      </c>
      <c r="AA246" s="64" t="e">
        <f t="shared" si="30"/>
        <v>#N/A</v>
      </c>
      <c r="AC246" s="64" t="s">
        <v>232</v>
      </c>
      <c r="AD246" s="64">
        <v>806.38</v>
      </c>
      <c r="AG246" s="64">
        <f>AH246*6191.24/J246</f>
        <v>15092.214137825418</v>
      </c>
      <c r="AH246" s="64">
        <f t="shared" si="31"/>
        <v>795.9</v>
      </c>
      <c r="AS246" s="64" t="e">
        <f t="shared" si="32"/>
        <v>#N/A</v>
      </c>
    </row>
    <row r="247" spans="1:45" s="64" customFormat="1" ht="36" customHeight="1" x14ac:dyDescent="0.9">
      <c r="A247" s="64">
        <v>1</v>
      </c>
      <c r="B247" s="92">
        <f>SUBTOTAL(103,$A$16:A247)</f>
        <v>227</v>
      </c>
      <c r="C247" s="91" t="s">
        <v>1211</v>
      </c>
      <c r="D247" s="126">
        <v>1978</v>
      </c>
      <c r="E247" s="126"/>
      <c r="F247" s="145" t="s">
        <v>273</v>
      </c>
      <c r="G247" s="126">
        <v>9</v>
      </c>
      <c r="H247" s="126">
        <v>7</v>
      </c>
      <c r="I247" s="118">
        <v>12895.2</v>
      </c>
      <c r="J247" s="118">
        <v>12862.3</v>
      </c>
      <c r="K247" s="118">
        <v>12862.3</v>
      </c>
      <c r="L247" s="127">
        <v>495</v>
      </c>
      <c r="M247" s="126" t="s">
        <v>271</v>
      </c>
      <c r="N247" s="126" t="s">
        <v>275</v>
      </c>
      <c r="O247" s="124" t="s">
        <v>1347</v>
      </c>
      <c r="P247" s="118">
        <v>3742412.1</v>
      </c>
      <c r="Q247" s="118">
        <v>0</v>
      </c>
      <c r="R247" s="118">
        <v>0</v>
      </c>
      <c r="S247" s="118">
        <f t="shared" si="35"/>
        <v>3742412.1</v>
      </c>
      <c r="T247" s="118">
        <f t="shared" si="27"/>
        <v>290.21745300576958</v>
      </c>
      <c r="U247" s="118">
        <f>Y247</f>
        <v>772.0207286432161</v>
      </c>
      <c r="V247" s="183">
        <f t="shared" si="28"/>
        <v>481.80327563744652</v>
      </c>
      <c r="W247" s="183"/>
      <c r="X247" s="183"/>
      <c r="Y247" s="64">
        <f t="shared" si="29"/>
        <v>772.0207286432161</v>
      </c>
      <c r="AA247" s="64">
        <f t="shared" si="30"/>
        <v>1906.5</v>
      </c>
      <c r="AC247" s="64" t="s">
        <v>235</v>
      </c>
      <c r="AD247" s="64">
        <v>308.60000000000002</v>
      </c>
      <c r="AH247" s="64" t="e">
        <f t="shared" si="31"/>
        <v>#N/A</v>
      </c>
      <c r="AS247" s="64" t="e">
        <f t="shared" si="32"/>
        <v>#N/A</v>
      </c>
    </row>
    <row r="248" spans="1:45" s="64" customFormat="1" ht="36" customHeight="1" x14ac:dyDescent="0.9">
      <c r="A248" s="64">
        <v>1</v>
      </c>
      <c r="B248" s="92">
        <f>SUBTOTAL(103,$A$16:A248)</f>
        <v>228</v>
      </c>
      <c r="C248" s="91" t="s">
        <v>1215</v>
      </c>
      <c r="D248" s="126">
        <v>1982</v>
      </c>
      <c r="E248" s="126"/>
      <c r="F248" s="145" t="s">
        <v>273</v>
      </c>
      <c r="G248" s="126">
        <v>9</v>
      </c>
      <c r="H248" s="126">
        <v>2</v>
      </c>
      <c r="I248" s="118">
        <v>5661.18</v>
      </c>
      <c r="J248" s="118">
        <v>4065</v>
      </c>
      <c r="K248" s="118">
        <v>4064.58</v>
      </c>
      <c r="L248" s="127">
        <v>149</v>
      </c>
      <c r="M248" s="126" t="s">
        <v>271</v>
      </c>
      <c r="N248" s="126" t="s">
        <v>275</v>
      </c>
      <c r="O248" s="124" t="s">
        <v>730</v>
      </c>
      <c r="P248" s="118">
        <v>2296405.6799999997</v>
      </c>
      <c r="Q248" s="118">
        <v>0</v>
      </c>
      <c r="R248" s="118">
        <v>0</v>
      </c>
      <c r="S248" s="118">
        <f t="shared" si="35"/>
        <v>2296405.6799999997</v>
      </c>
      <c r="T248" s="118">
        <f t="shared" si="27"/>
        <v>405.64081693215894</v>
      </c>
      <c r="U248" s="118">
        <v>502.65999999999997</v>
      </c>
      <c r="V248" s="183">
        <f t="shared" si="28"/>
        <v>97.019183067841027</v>
      </c>
      <c r="W248" s="183"/>
      <c r="X248" s="183"/>
      <c r="Y248" s="64" t="e">
        <f t="shared" si="29"/>
        <v>#N/A</v>
      </c>
      <c r="AA248" s="64" t="e">
        <f t="shared" si="30"/>
        <v>#N/A</v>
      </c>
      <c r="AC248" s="64" t="s">
        <v>1322</v>
      </c>
      <c r="AD248" s="64">
        <v>735</v>
      </c>
      <c r="AH248" s="64" t="e">
        <f t="shared" si="31"/>
        <v>#N/A</v>
      </c>
      <c r="AS248" s="64" t="e">
        <f t="shared" si="32"/>
        <v>#N/A</v>
      </c>
    </row>
    <row r="249" spans="1:45" s="64" customFormat="1" ht="36" customHeight="1" x14ac:dyDescent="0.9">
      <c r="A249" s="64">
        <v>1</v>
      </c>
      <c r="B249" s="92">
        <f>SUBTOTAL(103,$A$16:A249)</f>
        <v>229</v>
      </c>
      <c r="C249" s="91" t="s">
        <v>1216</v>
      </c>
      <c r="D249" s="126">
        <v>1978</v>
      </c>
      <c r="E249" s="126"/>
      <c r="F249" s="145" t="s">
        <v>273</v>
      </c>
      <c r="G249" s="126">
        <v>5</v>
      </c>
      <c r="H249" s="126">
        <v>6</v>
      </c>
      <c r="I249" s="118">
        <v>6106.27</v>
      </c>
      <c r="J249" s="118">
        <v>4494</v>
      </c>
      <c r="K249" s="118">
        <v>4493.7700000000004</v>
      </c>
      <c r="L249" s="127">
        <v>207</v>
      </c>
      <c r="M249" s="126" t="s">
        <v>271</v>
      </c>
      <c r="N249" s="126" t="s">
        <v>275</v>
      </c>
      <c r="O249" s="124" t="s">
        <v>730</v>
      </c>
      <c r="P249" s="118">
        <v>4766824.05</v>
      </c>
      <c r="Q249" s="118">
        <v>0</v>
      </c>
      <c r="R249" s="118">
        <v>0</v>
      </c>
      <c r="S249" s="118">
        <f t="shared" si="35"/>
        <v>4766824.05</v>
      </c>
      <c r="T249" s="118">
        <f t="shared" si="27"/>
        <v>780.64416575094117</v>
      </c>
      <c r="U249" s="118">
        <f>Y249</f>
        <v>1081.7353520234119</v>
      </c>
      <c r="V249" s="183">
        <f t="shared" si="28"/>
        <v>301.09118627247074</v>
      </c>
      <c r="W249" s="183"/>
      <c r="X249" s="183"/>
      <c r="Y249" s="64">
        <f t="shared" si="29"/>
        <v>1081.7353520234119</v>
      </c>
      <c r="AA249" s="64">
        <f t="shared" si="30"/>
        <v>1264.96</v>
      </c>
      <c r="AC249" s="64" t="s">
        <v>141</v>
      </c>
      <c r="AD249" s="64">
        <v>980</v>
      </c>
      <c r="AH249" s="64" t="e">
        <f t="shared" si="31"/>
        <v>#N/A</v>
      </c>
      <c r="AS249" s="64" t="e">
        <f t="shared" si="32"/>
        <v>#N/A</v>
      </c>
    </row>
    <row r="250" spans="1:45" s="64" customFormat="1" ht="36" customHeight="1" x14ac:dyDescent="0.9">
      <c r="A250" s="64">
        <v>1</v>
      </c>
      <c r="B250" s="92">
        <f>SUBTOTAL(103,$A$16:A250)</f>
        <v>230</v>
      </c>
      <c r="C250" s="91" t="s">
        <v>1217</v>
      </c>
      <c r="D250" s="126">
        <v>1905</v>
      </c>
      <c r="E250" s="126"/>
      <c r="F250" s="145" t="s">
        <v>338</v>
      </c>
      <c r="G250" s="126">
        <v>2</v>
      </c>
      <c r="H250" s="126">
        <v>2</v>
      </c>
      <c r="I250" s="118">
        <v>1065.5</v>
      </c>
      <c r="J250" s="118">
        <v>510.7</v>
      </c>
      <c r="K250" s="118">
        <v>510.7</v>
      </c>
      <c r="L250" s="127">
        <v>18</v>
      </c>
      <c r="M250" s="126" t="s">
        <v>271</v>
      </c>
      <c r="N250" s="126" t="s">
        <v>275</v>
      </c>
      <c r="O250" s="124" t="s">
        <v>1346</v>
      </c>
      <c r="P250" s="118">
        <v>1562740.68</v>
      </c>
      <c r="Q250" s="118">
        <v>0</v>
      </c>
      <c r="R250" s="118">
        <v>0</v>
      </c>
      <c r="S250" s="118">
        <f t="shared" si="35"/>
        <v>1562740.68</v>
      </c>
      <c r="T250" s="118">
        <f t="shared" si="27"/>
        <v>1466.6735617081181</v>
      </c>
      <c r="U250" s="118">
        <v>8911.6543219145933</v>
      </c>
      <c r="V250" s="183">
        <f t="shared" si="28"/>
        <v>7444.9807602064757</v>
      </c>
      <c r="W250" s="183"/>
      <c r="X250" s="183"/>
      <c r="Y250" s="64" t="e">
        <f t="shared" si="29"/>
        <v>#N/A</v>
      </c>
      <c r="AA250" s="64" t="e">
        <f t="shared" si="30"/>
        <v>#N/A</v>
      </c>
      <c r="AC250" s="64" t="s">
        <v>146</v>
      </c>
      <c r="AD250" s="64">
        <v>629.09712090000005</v>
      </c>
      <c r="AH250" s="64" t="e">
        <f t="shared" si="31"/>
        <v>#N/A</v>
      </c>
      <c r="AS250" s="64" t="e">
        <f t="shared" si="32"/>
        <v>#N/A</v>
      </c>
    </row>
    <row r="251" spans="1:45" s="64" customFormat="1" ht="36" customHeight="1" x14ac:dyDescent="0.9">
      <c r="A251" s="64">
        <v>1</v>
      </c>
      <c r="B251" s="92">
        <f>SUBTOTAL(103,$A$16:A251)</f>
        <v>231</v>
      </c>
      <c r="C251" s="91" t="s">
        <v>1218</v>
      </c>
      <c r="D251" s="126">
        <v>1937</v>
      </c>
      <c r="E251" s="126"/>
      <c r="F251" s="145" t="s">
        <v>273</v>
      </c>
      <c r="G251" s="126">
        <v>3</v>
      </c>
      <c r="H251" s="126">
        <v>2</v>
      </c>
      <c r="I251" s="118">
        <v>1633.4</v>
      </c>
      <c r="J251" s="118">
        <v>1633.4</v>
      </c>
      <c r="K251" s="118">
        <v>1485.5</v>
      </c>
      <c r="L251" s="127">
        <v>51</v>
      </c>
      <c r="M251" s="126" t="s">
        <v>271</v>
      </c>
      <c r="N251" s="126" t="s">
        <v>289</v>
      </c>
      <c r="O251" s="124" t="s">
        <v>274</v>
      </c>
      <c r="P251" s="118">
        <v>3767844.52</v>
      </c>
      <c r="Q251" s="118">
        <v>0</v>
      </c>
      <c r="R251" s="118">
        <v>0</v>
      </c>
      <c r="S251" s="118">
        <f t="shared" si="35"/>
        <v>3767844.52</v>
      </c>
      <c r="T251" s="118">
        <f t="shared" si="27"/>
        <v>2306.7494306354843</v>
      </c>
      <c r="U251" s="118">
        <f>Y251</f>
        <v>2496.7710297538874</v>
      </c>
      <c r="V251" s="183">
        <f t="shared" si="28"/>
        <v>190.02159911840317</v>
      </c>
      <c r="W251" s="183"/>
      <c r="X251" s="183"/>
      <c r="Y251" s="64">
        <f t="shared" si="29"/>
        <v>2496.7710297538874</v>
      </c>
      <c r="AA251" s="64">
        <f t="shared" si="30"/>
        <v>781</v>
      </c>
      <c r="AC251" s="64" t="s">
        <v>145</v>
      </c>
      <c r="AD251" s="64">
        <v>317.8</v>
      </c>
      <c r="AH251" s="64" t="e">
        <f t="shared" si="31"/>
        <v>#N/A</v>
      </c>
      <c r="AS251" s="64" t="e">
        <f t="shared" si="32"/>
        <v>#N/A</v>
      </c>
    </row>
    <row r="252" spans="1:45" s="64" customFormat="1" ht="36" customHeight="1" x14ac:dyDescent="0.9">
      <c r="A252" s="64">
        <v>1</v>
      </c>
      <c r="B252" s="92">
        <f>SUBTOTAL(103,$A$16:A252)</f>
        <v>232</v>
      </c>
      <c r="C252" s="91" t="s">
        <v>1219</v>
      </c>
      <c r="D252" s="126">
        <v>1973</v>
      </c>
      <c r="E252" s="126"/>
      <c r="F252" s="145" t="s">
        <v>273</v>
      </c>
      <c r="G252" s="126">
        <v>5</v>
      </c>
      <c r="H252" s="126">
        <v>6</v>
      </c>
      <c r="I252" s="118">
        <v>4829.54</v>
      </c>
      <c r="J252" s="118">
        <v>4363.6400000000003</v>
      </c>
      <c r="K252" s="118">
        <v>4363.6400000000003</v>
      </c>
      <c r="L252" s="127">
        <v>198</v>
      </c>
      <c r="M252" s="126" t="s">
        <v>271</v>
      </c>
      <c r="N252" s="126" t="s">
        <v>275</v>
      </c>
      <c r="O252" s="124" t="s">
        <v>728</v>
      </c>
      <c r="P252" s="118">
        <v>6209520.0999999996</v>
      </c>
      <c r="Q252" s="118">
        <v>0</v>
      </c>
      <c r="R252" s="118">
        <v>0</v>
      </c>
      <c r="S252" s="118">
        <f t="shared" si="35"/>
        <v>6209520.0999999996</v>
      </c>
      <c r="T252" s="118">
        <f t="shared" si="27"/>
        <v>1285.7373787151571</v>
      </c>
      <c r="U252" s="118">
        <f>Y252</f>
        <v>2242.3442025534528</v>
      </c>
      <c r="V252" s="183">
        <f t="shared" si="28"/>
        <v>956.60682383829567</v>
      </c>
      <c r="W252" s="183"/>
      <c r="X252" s="183"/>
      <c r="Y252" s="64">
        <f t="shared" si="29"/>
        <v>2242.3442025534528</v>
      </c>
      <c r="AA252" s="64">
        <f t="shared" si="30"/>
        <v>2073.9</v>
      </c>
      <c r="AC252" s="64" t="s">
        <v>1293</v>
      </c>
      <c r="AD252" s="64">
        <v>189.8</v>
      </c>
      <c r="AH252" s="64" t="e">
        <f t="shared" si="31"/>
        <v>#N/A</v>
      </c>
      <c r="AS252" s="64" t="e">
        <f t="shared" si="32"/>
        <v>#N/A</v>
      </c>
    </row>
    <row r="253" spans="1:45" s="64" customFormat="1" ht="36" customHeight="1" x14ac:dyDescent="0.9">
      <c r="A253" s="64">
        <v>1</v>
      </c>
      <c r="B253" s="92">
        <f>SUBTOTAL(103,$A$16:A253)</f>
        <v>233</v>
      </c>
      <c r="C253" s="91" t="s">
        <v>1220</v>
      </c>
      <c r="D253" s="126">
        <v>1957</v>
      </c>
      <c r="E253" s="126"/>
      <c r="F253" s="145" t="s">
        <v>273</v>
      </c>
      <c r="G253" s="126">
        <v>2</v>
      </c>
      <c r="H253" s="126">
        <v>2</v>
      </c>
      <c r="I253" s="118">
        <v>497.1</v>
      </c>
      <c r="J253" s="118">
        <v>442.9</v>
      </c>
      <c r="K253" s="118">
        <v>442.9</v>
      </c>
      <c r="L253" s="127">
        <v>20</v>
      </c>
      <c r="M253" s="126" t="s">
        <v>271</v>
      </c>
      <c r="N253" s="126" t="s">
        <v>275</v>
      </c>
      <c r="O253" s="124" t="s">
        <v>1346</v>
      </c>
      <c r="P253" s="118">
        <v>732022.04</v>
      </c>
      <c r="Q253" s="118">
        <v>0</v>
      </c>
      <c r="R253" s="118">
        <v>0</v>
      </c>
      <c r="S253" s="118">
        <f t="shared" si="35"/>
        <v>732022.04</v>
      </c>
      <c r="T253" s="118">
        <f t="shared" si="27"/>
        <v>1472.58507342587</v>
      </c>
      <c r="U253" s="118">
        <v>2928.86</v>
      </c>
      <c r="V253" s="183">
        <f t="shared" si="28"/>
        <v>1456.2749265741302</v>
      </c>
      <c r="W253" s="183"/>
      <c r="X253" s="183"/>
      <c r="Y253" s="64" t="e">
        <f t="shared" si="29"/>
        <v>#N/A</v>
      </c>
      <c r="AA253" s="64" t="e">
        <f t="shared" si="30"/>
        <v>#N/A</v>
      </c>
      <c r="AC253" s="64" t="s">
        <v>1328</v>
      </c>
      <c r="AD253" s="64">
        <v>596.79999999999995</v>
      </c>
      <c r="AH253" s="64" t="e">
        <f t="shared" si="31"/>
        <v>#N/A</v>
      </c>
      <c r="AS253" s="64" t="e">
        <f t="shared" si="32"/>
        <v>#N/A</v>
      </c>
    </row>
    <row r="254" spans="1:45" s="64" customFormat="1" ht="36" customHeight="1" x14ac:dyDescent="0.9">
      <c r="A254" s="64">
        <v>1</v>
      </c>
      <c r="B254" s="92">
        <f>SUBTOTAL(103,$A$16:A254)</f>
        <v>234</v>
      </c>
      <c r="C254" s="91" t="s">
        <v>1221</v>
      </c>
      <c r="D254" s="126">
        <v>1967</v>
      </c>
      <c r="E254" s="126"/>
      <c r="F254" s="145" t="s">
        <v>273</v>
      </c>
      <c r="G254" s="126">
        <v>5</v>
      </c>
      <c r="H254" s="126">
        <v>4</v>
      </c>
      <c r="I254" s="118">
        <v>5485.29</v>
      </c>
      <c r="J254" s="118">
        <v>3346.19</v>
      </c>
      <c r="K254" s="118">
        <v>3346.19</v>
      </c>
      <c r="L254" s="127">
        <v>139</v>
      </c>
      <c r="M254" s="126" t="s">
        <v>271</v>
      </c>
      <c r="N254" s="126" t="s">
        <v>275</v>
      </c>
      <c r="O254" s="124" t="s">
        <v>1346</v>
      </c>
      <c r="P254" s="118">
        <v>4782270.82</v>
      </c>
      <c r="Q254" s="118">
        <v>0</v>
      </c>
      <c r="R254" s="118">
        <v>0</v>
      </c>
      <c r="S254" s="118">
        <f t="shared" si="35"/>
        <v>4782270.82</v>
      </c>
      <c r="T254" s="118">
        <f t="shared" ref="T254:T316" si="36">P254/I254</f>
        <v>871.83554925992985</v>
      </c>
      <c r="U254" s="118">
        <f>Y254</f>
        <v>1117.7773871572881</v>
      </c>
      <c r="V254" s="183">
        <f t="shared" si="28"/>
        <v>245.94183789735825</v>
      </c>
      <c r="W254" s="183"/>
      <c r="X254" s="183"/>
      <c r="Y254" s="64">
        <f t="shared" si="29"/>
        <v>1117.7773871572881</v>
      </c>
      <c r="AA254" s="64">
        <f t="shared" si="30"/>
        <v>1174.18</v>
      </c>
      <c r="AC254" s="64" t="s">
        <v>147</v>
      </c>
      <c r="AD254" s="64">
        <v>1525.2</v>
      </c>
      <c r="AH254" s="64" t="e">
        <f t="shared" si="31"/>
        <v>#N/A</v>
      </c>
      <c r="AS254" s="64" t="e">
        <f t="shared" si="32"/>
        <v>#N/A</v>
      </c>
    </row>
    <row r="255" spans="1:45" s="64" customFormat="1" ht="36" customHeight="1" x14ac:dyDescent="0.9">
      <c r="A255" s="64">
        <v>1</v>
      </c>
      <c r="B255" s="92">
        <f>SUBTOTAL(103,$A$16:A255)</f>
        <v>235</v>
      </c>
      <c r="C255" s="91" t="s">
        <v>1222</v>
      </c>
      <c r="D255" s="126">
        <v>1990</v>
      </c>
      <c r="E255" s="126"/>
      <c r="F255" s="145" t="s">
        <v>273</v>
      </c>
      <c r="G255" s="126">
        <v>2</v>
      </c>
      <c r="H255" s="126">
        <v>2</v>
      </c>
      <c r="I255" s="118">
        <v>568.29999999999995</v>
      </c>
      <c r="J255" s="118">
        <v>317</v>
      </c>
      <c r="K255" s="118">
        <v>257.10000000000002</v>
      </c>
      <c r="L255" s="127">
        <v>31</v>
      </c>
      <c r="M255" s="126" t="s">
        <v>271</v>
      </c>
      <c r="N255" s="126" t="s">
        <v>272</v>
      </c>
      <c r="O255" s="124" t="s">
        <v>274</v>
      </c>
      <c r="P255" s="118">
        <v>2613308.5</v>
      </c>
      <c r="Q255" s="118">
        <v>0</v>
      </c>
      <c r="R255" s="118">
        <v>0</v>
      </c>
      <c r="S255" s="118">
        <f t="shared" si="35"/>
        <v>2613308.5</v>
      </c>
      <c r="T255" s="118">
        <f t="shared" si="36"/>
        <v>4598.4664789723738</v>
      </c>
      <c r="U255" s="118">
        <f>T255</f>
        <v>4598.4664789723738</v>
      </c>
      <c r="V255" s="183">
        <f t="shared" si="28"/>
        <v>0</v>
      </c>
      <c r="W255" s="183"/>
      <c r="X255" s="183"/>
      <c r="Y255" s="64">
        <f t="shared" si="29"/>
        <v>4447.213091676932</v>
      </c>
      <c r="AA255" s="64">
        <f t="shared" si="30"/>
        <v>484</v>
      </c>
      <c r="AC255" s="64" t="s">
        <v>142</v>
      </c>
      <c r="AD255" s="64">
        <v>1140</v>
      </c>
      <c r="AH255" s="64" t="e">
        <f t="shared" si="31"/>
        <v>#N/A</v>
      </c>
      <c r="AS255" s="64" t="e">
        <f t="shared" si="32"/>
        <v>#N/A</v>
      </c>
    </row>
    <row r="256" spans="1:45" s="64" customFormat="1" ht="36" customHeight="1" x14ac:dyDescent="0.9">
      <c r="A256" s="64">
        <v>1</v>
      </c>
      <c r="B256" s="92">
        <f>SUBTOTAL(103,$A$16:A256)</f>
        <v>236</v>
      </c>
      <c r="C256" s="91" t="s">
        <v>1383</v>
      </c>
      <c r="D256" s="126">
        <v>1970</v>
      </c>
      <c r="E256" s="126"/>
      <c r="F256" s="145" t="s">
        <v>273</v>
      </c>
      <c r="G256" s="126">
        <v>2</v>
      </c>
      <c r="H256" s="126">
        <v>2</v>
      </c>
      <c r="I256" s="118">
        <v>973.3</v>
      </c>
      <c r="J256" s="118">
        <v>527.20000000000005</v>
      </c>
      <c r="K256" s="118">
        <v>421.80000000000007</v>
      </c>
      <c r="L256" s="127">
        <v>26</v>
      </c>
      <c r="M256" s="126" t="s">
        <v>271</v>
      </c>
      <c r="N256" s="126" t="s">
        <v>275</v>
      </c>
      <c r="O256" s="124" t="s">
        <v>1110</v>
      </c>
      <c r="P256" s="118">
        <v>2732414.26</v>
      </c>
      <c r="Q256" s="118">
        <v>0</v>
      </c>
      <c r="R256" s="118">
        <v>0</v>
      </c>
      <c r="S256" s="118">
        <f t="shared" si="35"/>
        <v>2732414.26</v>
      </c>
      <c r="T256" s="118">
        <f t="shared" si="36"/>
        <v>2807.3710675023117</v>
      </c>
      <c r="U256" s="118">
        <f>T256</f>
        <v>2807.3710675023117</v>
      </c>
      <c r="V256" s="183">
        <f t="shared" si="28"/>
        <v>0</v>
      </c>
      <c r="W256" s="183"/>
      <c r="X256" s="183"/>
      <c r="Y256" s="64">
        <f t="shared" si="29"/>
        <v>2356.4894832014797</v>
      </c>
      <c r="AA256" s="64">
        <f t="shared" si="30"/>
        <v>439.23</v>
      </c>
      <c r="AC256" s="64" t="s">
        <v>143</v>
      </c>
      <c r="AD256" s="64">
        <v>1373.6</v>
      </c>
      <c r="AH256" s="64" t="e">
        <f t="shared" si="31"/>
        <v>#N/A</v>
      </c>
      <c r="AS256" s="64" t="e">
        <f t="shared" si="32"/>
        <v>#N/A</v>
      </c>
    </row>
    <row r="257" spans="1:45" s="64" customFormat="1" ht="36" customHeight="1" x14ac:dyDescent="0.9">
      <c r="A257" s="64">
        <v>1</v>
      </c>
      <c r="B257" s="92">
        <f>SUBTOTAL(103,$A$16:A257)</f>
        <v>237</v>
      </c>
      <c r="C257" s="91" t="s">
        <v>1382</v>
      </c>
      <c r="D257" s="126">
        <v>1984</v>
      </c>
      <c r="E257" s="126"/>
      <c r="F257" s="145" t="s">
        <v>326</v>
      </c>
      <c r="G257" s="126">
        <v>2</v>
      </c>
      <c r="H257" s="126">
        <v>2</v>
      </c>
      <c r="I257" s="118">
        <v>622.79999999999995</v>
      </c>
      <c r="J257" s="118">
        <v>560.29999999999995</v>
      </c>
      <c r="K257" s="118">
        <v>468.99999999999994</v>
      </c>
      <c r="L257" s="127">
        <v>31</v>
      </c>
      <c r="M257" s="126" t="s">
        <v>271</v>
      </c>
      <c r="N257" s="126" t="s">
        <v>275</v>
      </c>
      <c r="O257" s="124" t="s">
        <v>1347</v>
      </c>
      <c r="P257" s="118">
        <v>2367728.1</v>
      </c>
      <c r="Q257" s="118">
        <v>0</v>
      </c>
      <c r="R257" s="118">
        <v>0</v>
      </c>
      <c r="S257" s="118">
        <f t="shared" si="35"/>
        <v>2367728.1</v>
      </c>
      <c r="T257" s="118">
        <f t="shared" si="36"/>
        <v>3801.7471098265901</v>
      </c>
      <c r="U257" s="118">
        <f>T257</f>
        <v>3801.7471098265901</v>
      </c>
      <c r="V257" s="183">
        <f t="shared" si="28"/>
        <v>0</v>
      </c>
      <c r="W257" s="183"/>
      <c r="X257" s="183"/>
      <c r="Y257" s="64">
        <f t="shared" si="29"/>
        <v>4396.943410404624</v>
      </c>
      <c r="AA257" s="64">
        <f t="shared" si="30"/>
        <v>524.41999999999996</v>
      </c>
      <c r="AC257" s="64" t="s">
        <v>1314</v>
      </c>
      <c r="AD257" s="64">
        <v>500</v>
      </c>
      <c r="AH257" s="64" t="e">
        <f t="shared" si="31"/>
        <v>#N/A</v>
      </c>
      <c r="AS257" s="64" t="e">
        <f t="shared" si="32"/>
        <v>#N/A</v>
      </c>
    </row>
    <row r="258" spans="1:45" s="64" customFormat="1" ht="36" customHeight="1" x14ac:dyDescent="0.9">
      <c r="A258" s="64">
        <v>1</v>
      </c>
      <c r="B258" s="92">
        <f>SUBTOTAL(103,$A$16:A258)</f>
        <v>238</v>
      </c>
      <c r="C258" s="91" t="s">
        <v>1607</v>
      </c>
      <c r="D258" s="126">
        <v>1965</v>
      </c>
      <c r="E258" s="126"/>
      <c r="F258" s="145" t="s">
        <v>1626</v>
      </c>
      <c r="G258" s="126">
        <v>5</v>
      </c>
      <c r="H258" s="126">
        <v>3</v>
      </c>
      <c r="I258" s="118">
        <v>4032.79</v>
      </c>
      <c r="J258" s="118">
        <v>2461.89</v>
      </c>
      <c r="K258" s="118">
        <f>J258-184.4</f>
        <v>2277.4899999999998</v>
      </c>
      <c r="L258" s="127">
        <v>120</v>
      </c>
      <c r="M258" s="126" t="s">
        <v>271</v>
      </c>
      <c r="N258" s="126" t="s">
        <v>275</v>
      </c>
      <c r="O258" s="124" t="s">
        <v>730</v>
      </c>
      <c r="P258" s="118">
        <v>6349239.9500000002</v>
      </c>
      <c r="Q258" s="118">
        <v>0</v>
      </c>
      <c r="R258" s="118">
        <v>0</v>
      </c>
      <c r="S258" s="118">
        <f>P258-R258-Q258</f>
        <v>6349239.9500000002</v>
      </c>
      <c r="T258" s="118">
        <f t="shared" si="36"/>
        <v>1574.4038122490881</v>
      </c>
      <c r="U258" s="118">
        <f>T258</f>
        <v>1574.4038122490881</v>
      </c>
      <c r="V258" s="183">
        <f t="shared" si="28"/>
        <v>0</v>
      </c>
      <c r="W258" s="183"/>
      <c r="X258" s="183"/>
      <c r="Y258" s="64">
        <f t="shared" si="29"/>
        <v>1308.4313589351293</v>
      </c>
      <c r="AA258" s="64">
        <f t="shared" si="30"/>
        <v>1010.5</v>
      </c>
      <c r="AC258" s="64" t="s">
        <v>1315</v>
      </c>
      <c r="AD258" s="64">
        <v>958</v>
      </c>
      <c r="AH258" s="64" t="e">
        <f t="shared" si="31"/>
        <v>#N/A</v>
      </c>
      <c r="AS258" s="64" t="e">
        <f t="shared" si="32"/>
        <v>#N/A</v>
      </c>
    </row>
    <row r="259" spans="1:45" s="64" customFormat="1" ht="36" customHeight="1" x14ac:dyDescent="0.9">
      <c r="B259" s="91" t="s">
        <v>841</v>
      </c>
      <c r="C259" s="91"/>
      <c r="D259" s="126" t="s">
        <v>916</v>
      </c>
      <c r="E259" s="126" t="s">
        <v>916</v>
      </c>
      <c r="F259" s="126" t="s">
        <v>916</v>
      </c>
      <c r="G259" s="126" t="s">
        <v>916</v>
      </c>
      <c r="H259" s="126" t="s">
        <v>916</v>
      </c>
      <c r="I259" s="117">
        <f>SUM(I260:I266)</f>
        <v>42597.2</v>
      </c>
      <c r="J259" s="117">
        <f>SUM(J260:J266)</f>
        <v>27019.800000000003</v>
      </c>
      <c r="K259" s="117">
        <f>SUM(K260:K266)</f>
        <v>25949.5</v>
      </c>
      <c r="L259" s="127">
        <f>SUM(L260:L266)</f>
        <v>1169</v>
      </c>
      <c r="M259" s="126" t="s">
        <v>916</v>
      </c>
      <c r="N259" s="126" t="s">
        <v>916</v>
      </c>
      <c r="O259" s="124" t="s">
        <v>916</v>
      </c>
      <c r="P259" s="118">
        <v>31393292.599999998</v>
      </c>
      <c r="Q259" s="118">
        <f>SUM(Q260:Q266)</f>
        <v>0</v>
      </c>
      <c r="R259" s="118">
        <f>SUM(R260:R266)</f>
        <v>0</v>
      </c>
      <c r="S259" s="118">
        <f>SUM(S260:S266)</f>
        <v>31393292.599999998</v>
      </c>
      <c r="T259" s="118">
        <f t="shared" si="36"/>
        <v>736.98019118627519</v>
      </c>
      <c r="U259" s="118">
        <f>MAX(U260:U266)</f>
        <v>3255.8500000000004</v>
      </c>
      <c r="V259" s="183">
        <f t="shared" si="28"/>
        <v>2518.8698088137253</v>
      </c>
      <c r="W259" s="183"/>
      <c r="X259" s="183"/>
      <c r="Y259" s="64" t="e">
        <f t="shared" si="29"/>
        <v>#N/A</v>
      </c>
      <c r="AA259" s="64" t="e">
        <f t="shared" si="30"/>
        <v>#N/A</v>
      </c>
      <c r="AC259" s="64" t="s">
        <v>1610</v>
      </c>
      <c r="AD259" s="64">
        <v>524.36</v>
      </c>
      <c r="AH259" s="64" t="e">
        <f t="shared" si="31"/>
        <v>#N/A</v>
      </c>
      <c r="AS259" s="64" t="e">
        <f t="shared" si="32"/>
        <v>#N/A</v>
      </c>
    </row>
    <row r="260" spans="1:45" s="64" customFormat="1" ht="36" customHeight="1" x14ac:dyDescent="0.9">
      <c r="A260" s="64">
        <v>1</v>
      </c>
      <c r="B260" s="92">
        <f>SUBTOTAL(103,$A$16:A260)</f>
        <v>239</v>
      </c>
      <c r="C260" s="91" t="s">
        <v>657</v>
      </c>
      <c r="D260" s="126">
        <v>1981</v>
      </c>
      <c r="E260" s="126"/>
      <c r="F260" s="145" t="s">
        <v>319</v>
      </c>
      <c r="G260" s="126">
        <v>5</v>
      </c>
      <c r="H260" s="126">
        <v>7</v>
      </c>
      <c r="I260" s="118">
        <v>9132.7000000000007</v>
      </c>
      <c r="J260" s="118">
        <v>5349.7</v>
      </c>
      <c r="K260" s="118">
        <v>5077.8999999999996</v>
      </c>
      <c r="L260" s="127">
        <v>233</v>
      </c>
      <c r="M260" s="126" t="s">
        <v>271</v>
      </c>
      <c r="N260" s="126" t="s">
        <v>275</v>
      </c>
      <c r="O260" s="124" t="s">
        <v>733</v>
      </c>
      <c r="P260" s="118">
        <v>7597136.8899999997</v>
      </c>
      <c r="Q260" s="118">
        <v>0</v>
      </c>
      <c r="R260" s="118">
        <v>0</v>
      </c>
      <c r="S260" s="118">
        <f t="shared" ref="S260:S266" si="37">P260-Q260-R260</f>
        <v>7597136.8899999997</v>
      </c>
      <c r="T260" s="118">
        <f t="shared" si="36"/>
        <v>831.86099291556707</v>
      </c>
      <c r="U260" s="118">
        <f>T260</f>
        <v>831.86099291556707</v>
      </c>
      <c r="V260" s="183">
        <f t="shared" si="28"/>
        <v>0</v>
      </c>
      <c r="W260" s="183"/>
      <c r="X260" s="183"/>
      <c r="Y260" s="64">
        <f t="shared" si="29"/>
        <v>800.08288436059422</v>
      </c>
      <c r="AA260" s="64">
        <f t="shared" si="30"/>
        <v>1399.31</v>
      </c>
      <c r="AC260" s="64" t="s">
        <v>153</v>
      </c>
      <c r="AD260" s="64">
        <v>833.9</v>
      </c>
      <c r="AH260" s="64" t="e">
        <f t="shared" si="31"/>
        <v>#N/A</v>
      </c>
      <c r="AS260" s="64" t="e">
        <f t="shared" si="32"/>
        <v>#N/A</v>
      </c>
    </row>
    <row r="261" spans="1:45" s="64" customFormat="1" ht="36" customHeight="1" x14ac:dyDescent="0.9">
      <c r="A261" s="64">
        <v>1</v>
      </c>
      <c r="B261" s="92">
        <f>SUBTOTAL(103,$A$16:A261)</f>
        <v>240</v>
      </c>
      <c r="C261" s="91" t="s">
        <v>663</v>
      </c>
      <c r="D261" s="126">
        <v>1987</v>
      </c>
      <c r="E261" s="126"/>
      <c r="F261" s="145" t="s">
        <v>273</v>
      </c>
      <c r="G261" s="126">
        <v>5</v>
      </c>
      <c r="H261" s="126">
        <v>6</v>
      </c>
      <c r="I261" s="118">
        <v>7301.9</v>
      </c>
      <c r="J261" s="118">
        <v>3931.5</v>
      </c>
      <c r="K261" s="118">
        <v>3739.7</v>
      </c>
      <c r="L261" s="127">
        <v>187</v>
      </c>
      <c r="M261" s="126" t="s">
        <v>271</v>
      </c>
      <c r="N261" s="126" t="s">
        <v>275</v>
      </c>
      <c r="O261" s="124" t="s">
        <v>733</v>
      </c>
      <c r="P261" s="118">
        <v>6332587.8299999991</v>
      </c>
      <c r="Q261" s="118">
        <v>0</v>
      </c>
      <c r="R261" s="118">
        <v>0</v>
      </c>
      <c r="S261" s="118">
        <f t="shared" si="37"/>
        <v>6332587.8299999991</v>
      </c>
      <c r="T261" s="118">
        <f t="shared" si="36"/>
        <v>867.25206179213626</v>
      </c>
      <c r="U261" s="118">
        <f>T261</f>
        <v>867.25206179213626</v>
      </c>
      <c r="V261" s="183">
        <f t="shared" si="28"/>
        <v>0</v>
      </c>
      <c r="W261" s="183"/>
      <c r="X261" s="183"/>
      <c r="Y261" s="64">
        <f t="shared" si="29"/>
        <v>802.73223407606247</v>
      </c>
      <c r="AA261" s="64">
        <f t="shared" si="30"/>
        <v>1122.5</v>
      </c>
      <c r="AC261" s="64" t="s">
        <v>154</v>
      </c>
      <c r="AD261" s="64">
        <v>1035.9000000000001</v>
      </c>
      <c r="AH261" s="64" t="e">
        <f t="shared" si="31"/>
        <v>#N/A</v>
      </c>
      <c r="AS261" s="64" t="e">
        <f t="shared" si="32"/>
        <v>#N/A</v>
      </c>
    </row>
    <row r="262" spans="1:45" s="64" customFormat="1" ht="36" customHeight="1" x14ac:dyDescent="0.9">
      <c r="A262" s="64">
        <v>1</v>
      </c>
      <c r="B262" s="92">
        <f>SUBTOTAL(103,$A$16:A262)</f>
        <v>241</v>
      </c>
      <c r="C262" s="91" t="s">
        <v>1223</v>
      </c>
      <c r="D262" s="126">
        <v>2001</v>
      </c>
      <c r="E262" s="126"/>
      <c r="F262" s="145" t="s">
        <v>273</v>
      </c>
      <c r="G262" s="126">
        <v>5</v>
      </c>
      <c r="H262" s="126">
        <v>5</v>
      </c>
      <c r="I262" s="118">
        <v>6333.9</v>
      </c>
      <c r="J262" s="118">
        <v>3627.6</v>
      </c>
      <c r="K262" s="118">
        <v>3627.6</v>
      </c>
      <c r="L262" s="127">
        <v>159</v>
      </c>
      <c r="M262" s="126" t="s">
        <v>271</v>
      </c>
      <c r="N262" s="126" t="s">
        <v>275</v>
      </c>
      <c r="O262" s="124" t="s">
        <v>733</v>
      </c>
      <c r="P262" s="118">
        <v>5003194.3900000006</v>
      </c>
      <c r="Q262" s="118">
        <v>0</v>
      </c>
      <c r="R262" s="118">
        <v>0</v>
      </c>
      <c r="S262" s="118">
        <f t="shared" si="37"/>
        <v>5003194.3900000006</v>
      </c>
      <c r="T262" s="118">
        <f t="shared" si="36"/>
        <v>789.90738565496781</v>
      </c>
      <c r="U262" s="118">
        <f>Y262</f>
        <v>957.15274949083505</v>
      </c>
      <c r="V262" s="183">
        <f t="shared" si="28"/>
        <v>167.24536383586724</v>
      </c>
      <c r="W262" s="183"/>
      <c r="X262" s="183"/>
      <c r="Y262" s="64">
        <f t="shared" si="29"/>
        <v>957.15274949083505</v>
      </c>
      <c r="AA262" s="64">
        <f t="shared" si="30"/>
        <v>1161</v>
      </c>
      <c r="AC262" s="64" t="s">
        <v>138</v>
      </c>
      <c r="AD262" s="64">
        <v>1062.4000000000001</v>
      </c>
      <c r="AH262" s="64" t="e">
        <f t="shared" si="31"/>
        <v>#N/A</v>
      </c>
      <c r="AS262" s="64" t="e">
        <f t="shared" si="32"/>
        <v>#N/A</v>
      </c>
    </row>
    <row r="263" spans="1:45" s="64" customFormat="1" ht="36" customHeight="1" x14ac:dyDescent="0.9">
      <c r="A263" s="64">
        <v>1</v>
      </c>
      <c r="B263" s="92">
        <f>SUBTOTAL(103,$A$16:A263)</f>
        <v>242</v>
      </c>
      <c r="C263" s="91" t="s">
        <v>1224</v>
      </c>
      <c r="D263" s="126">
        <v>1989</v>
      </c>
      <c r="E263" s="126">
        <v>2015</v>
      </c>
      <c r="F263" s="145" t="s">
        <v>273</v>
      </c>
      <c r="G263" s="126">
        <v>9</v>
      </c>
      <c r="H263" s="126">
        <v>2</v>
      </c>
      <c r="I263" s="118">
        <v>6378.8</v>
      </c>
      <c r="J263" s="118">
        <v>3627.7</v>
      </c>
      <c r="K263" s="118">
        <v>3459.6</v>
      </c>
      <c r="L263" s="127">
        <v>186</v>
      </c>
      <c r="M263" s="126" t="s">
        <v>271</v>
      </c>
      <c r="N263" s="126" t="s">
        <v>275</v>
      </c>
      <c r="O263" s="124" t="s">
        <v>733</v>
      </c>
      <c r="P263" s="118">
        <v>3498706.87</v>
      </c>
      <c r="Q263" s="118">
        <v>0</v>
      </c>
      <c r="R263" s="118">
        <v>0</v>
      </c>
      <c r="S263" s="118">
        <f t="shared" si="37"/>
        <v>3498706.87</v>
      </c>
      <c r="T263" s="118">
        <f t="shared" si="36"/>
        <v>548.48982096946133</v>
      </c>
      <c r="U263" s="118">
        <v>3255.8500000000004</v>
      </c>
      <c r="V263" s="183">
        <f t="shared" si="28"/>
        <v>2707.3601790305393</v>
      </c>
      <c r="W263" s="183"/>
      <c r="X263" s="183"/>
      <c r="Y263" s="64" t="e">
        <f t="shared" si="29"/>
        <v>#N/A</v>
      </c>
      <c r="AA263" s="64" t="e">
        <f t="shared" si="30"/>
        <v>#N/A</v>
      </c>
      <c r="AC263" s="64" t="s">
        <v>140</v>
      </c>
      <c r="AD263" s="64">
        <v>462.03</v>
      </c>
      <c r="AH263" s="64" t="e">
        <f t="shared" si="31"/>
        <v>#N/A</v>
      </c>
      <c r="AS263" s="64" t="e">
        <f t="shared" si="32"/>
        <v>#N/A</v>
      </c>
    </row>
    <row r="264" spans="1:45" s="64" customFormat="1" ht="36" customHeight="1" x14ac:dyDescent="0.9">
      <c r="A264" s="64">
        <v>1</v>
      </c>
      <c r="B264" s="92">
        <f>SUBTOTAL(103,$A$16:A264)</f>
        <v>243</v>
      </c>
      <c r="C264" s="91" t="s">
        <v>1225</v>
      </c>
      <c r="D264" s="126">
        <v>1979</v>
      </c>
      <c r="E264" s="126"/>
      <c r="F264" s="145" t="s">
        <v>319</v>
      </c>
      <c r="G264" s="126">
        <v>5</v>
      </c>
      <c r="H264" s="126">
        <v>2</v>
      </c>
      <c r="I264" s="118">
        <v>2660.8</v>
      </c>
      <c r="J264" s="118">
        <v>1869.9</v>
      </c>
      <c r="K264" s="118">
        <v>1766.1</v>
      </c>
      <c r="L264" s="127">
        <v>85</v>
      </c>
      <c r="M264" s="126" t="s">
        <v>271</v>
      </c>
      <c r="N264" s="126" t="s">
        <v>275</v>
      </c>
      <c r="O264" s="124" t="s">
        <v>733</v>
      </c>
      <c r="P264" s="118">
        <v>1670690</v>
      </c>
      <c r="Q264" s="118">
        <v>0</v>
      </c>
      <c r="R264" s="118">
        <v>0</v>
      </c>
      <c r="S264" s="118">
        <f t="shared" si="37"/>
        <v>1670690</v>
      </c>
      <c r="T264" s="118">
        <f t="shared" si="36"/>
        <v>627.89010823812384</v>
      </c>
      <c r="U264" s="118">
        <f>Y264</f>
        <v>887.24285177390266</v>
      </c>
      <c r="V264" s="183">
        <f t="shared" si="28"/>
        <v>259.35274353577881</v>
      </c>
      <c r="W264" s="183"/>
      <c r="X264" s="183"/>
      <c r="Y264" s="64">
        <f t="shared" si="29"/>
        <v>887.24285177390266</v>
      </c>
      <c r="AA264" s="64">
        <f t="shared" si="30"/>
        <v>452.1</v>
      </c>
      <c r="AC264" s="64" t="s">
        <v>149</v>
      </c>
      <c r="AD264" s="64">
        <v>1664.04</v>
      </c>
      <c r="AH264" s="64" t="e">
        <f t="shared" si="31"/>
        <v>#N/A</v>
      </c>
      <c r="AS264" s="64" t="e">
        <f t="shared" si="32"/>
        <v>#N/A</v>
      </c>
    </row>
    <row r="265" spans="1:45" s="64" customFormat="1" ht="36" customHeight="1" x14ac:dyDescent="0.9">
      <c r="A265" s="64">
        <v>1</v>
      </c>
      <c r="B265" s="92">
        <f>SUBTOTAL(103,$A$16:A265)</f>
        <v>244</v>
      </c>
      <c r="C265" s="91" t="s">
        <v>1226</v>
      </c>
      <c r="D265" s="126">
        <v>1986</v>
      </c>
      <c r="E265" s="126"/>
      <c r="F265" s="145" t="s">
        <v>319</v>
      </c>
      <c r="G265" s="126">
        <v>5</v>
      </c>
      <c r="H265" s="126">
        <v>5</v>
      </c>
      <c r="I265" s="118">
        <v>5770.1</v>
      </c>
      <c r="J265" s="118">
        <v>3935.4</v>
      </c>
      <c r="K265" s="118">
        <v>3781</v>
      </c>
      <c r="L265" s="127">
        <v>174</v>
      </c>
      <c r="M265" s="126" t="s">
        <v>271</v>
      </c>
      <c r="N265" s="126" t="s">
        <v>275</v>
      </c>
      <c r="O265" s="124" t="s">
        <v>733</v>
      </c>
      <c r="P265" s="118">
        <v>4024342.92</v>
      </c>
      <c r="Q265" s="118">
        <v>0</v>
      </c>
      <c r="R265" s="118">
        <v>0</v>
      </c>
      <c r="S265" s="118">
        <f t="shared" si="37"/>
        <v>4024342.92</v>
      </c>
      <c r="T265" s="118">
        <f t="shared" si="36"/>
        <v>697.44769068127061</v>
      </c>
      <c r="U265" s="118">
        <f>Y265</f>
        <v>897.73584513266667</v>
      </c>
      <c r="V265" s="183">
        <f t="shared" si="28"/>
        <v>200.28815445139605</v>
      </c>
      <c r="W265" s="183"/>
      <c r="X265" s="183"/>
      <c r="Y265" s="64">
        <f t="shared" si="29"/>
        <v>897.73584513266667</v>
      </c>
      <c r="AA265" s="64">
        <f t="shared" si="30"/>
        <v>992</v>
      </c>
      <c r="AC265" s="64" t="s">
        <v>1289</v>
      </c>
      <c r="AD265" s="64">
        <v>1105</v>
      </c>
      <c r="AH265" s="64" t="e">
        <f t="shared" si="31"/>
        <v>#N/A</v>
      </c>
      <c r="AS265" s="64" t="e">
        <f t="shared" si="32"/>
        <v>#N/A</v>
      </c>
    </row>
    <row r="266" spans="1:45" s="64" customFormat="1" ht="36" customHeight="1" x14ac:dyDescent="0.9">
      <c r="A266" s="64">
        <v>1</v>
      </c>
      <c r="B266" s="92">
        <f>SUBTOTAL(103,$A$16:A266)</f>
        <v>245</v>
      </c>
      <c r="C266" s="91" t="s">
        <v>661</v>
      </c>
      <c r="D266" s="126">
        <v>1991</v>
      </c>
      <c r="E266" s="126"/>
      <c r="F266" s="145" t="s">
        <v>319</v>
      </c>
      <c r="G266" s="126">
        <v>5</v>
      </c>
      <c r="H266" s="126">
        <v>4</v>
      </c>
      <c r="I266" s="118">
        <v>5019</v>
      </c>
      <c r="J266" s="118">
        <v>4678</v>
      </c>
      <c r="K266" s="118">
        <v>4497.6000000000004</v>
      </c>
      <c r="L266" s="127">
        <v>145</v>
      </c>
      <c r="M266" s="126" t="s">
        <v>271</v>
      </c>
      <c r="N266" s="126" t="s">
        <v>275</v>
      </c>
      <c r="O266" s="124" t="s">
        <v>733</v>
      </c>
      <c r="P266" s="118">
        <v>3266633.7</v>
      </c>
      <c r="Q266" s="118">
        <v>0</v>
      </c>
      <c r="R266" s="118">
        <v>0</v>
      </c>
      <c r="S266" s="118">
        <f t="shared" si="37"/>
        <v>3266633.7</v>
      </c>
      <c r="T266" s="118">
        <f t="shared" si="36"/>
        <v>650.85349671249253</v>
      </c>
      <c r="U266" s="118">
        <f>Y266</f>
        <v>828.26757919904367</v>
      </c>
      <c r="V266" s="183">
        <f t="shared" si="28"/>
        <v>177.41408248655114</v>
      </c>
      <c r="W266" s="183"/>
      <c r="X266" s="183"/>
      <c r="Y266" s="64">
        <f t="shared" si="29"/>
        <v>828.26757919904367</v>
      </c>
      <c r="AA266" s="64">
        <f t="shared" si="30"/>
        <v>796.1</v>
      </c>
      <c r="AC266" s="64" t="s">
        <v>1290</v>
      </c>
      <c r="AD266" s="64">
        <v>835.43</v>
      </c>
      <c r="AH266" s="64" t="e">
        <f t="shared" si="31"/>
        <v>#N/A</v>
      </c>
      <c r="AS266" s="64" t="e">
        <f t="shared" si="32"/>
        <v>#N/A</v>
      </c>
    </row>
    <row r="267" spans="1:45" s="64" customFormat="1" ht="36" customHeight="1" x14ac:dyDescent="0.9">
      <c r="B267" s="91" t="s">
        <v>842</v>
      </c>
      <c r="C267" s="91"/>
      <c r="D267" s="126" t="s">
        <v>916</v>
      </c>
      <c r="E267" s="126" t="s">
        <v>916</v>
      </c>
      <c r="F267" s="126" t="s">
        <v>916</v>
      </c>
      <c r="G267" s="126" t="s">
        <v>916</v>
      </c>
      <c r="H267" s="126" t="s">
        <v>916</v>
      </c>
      <c r="I267" s="117">
        <f>SUM(I268:I273)</f>
        <v>10556.800000000001</v>
      </c>
      <c r="J267" s="117">
        <f>SUM(J268:J273)</f>
        <v>8511.2999999999993</v>
      </c>
      <c r="K267" s="117">
        <f>SUM(K268:K273)</f>
        <v>7690.2999999999993</v>
      </c>
      <c r="L267" s="127">
        <f>SUM(L268:L273)</f>
        <v>411</v>
      </c>
      <c r="M267" s="126" t="s">
        <v>916</v>
      </c>
      <c r="N267" s="126" t="s">
        <v>916</v>
      </c>
      <c r="O267" s="124" t="s">
        <v>916</v>
      </c>
      <c r="P267" s="117">
        <v>35599350.520000003</v>
      </c>
      <c r="Q267" s="117">
        <f>SUM(Q268:Q273)</f>
        <v>0</v>
      </c>
      <c r="R267" s="117">
        <f>SUM(R268:R273)</f>
        <v>0</v>
      </c>
      <c r="S267" s="117">
        <f>SUM(S268:S273)</f>
        <v>35599350.520000003</v>
      </c>
      <c r="T267" s="118">
        <f t="shared" si="36"/>
        <v>3372.1724878751138</v>
      </c>
      <c r="U267" s="118">
        <f>MAX(U268:U273)</f>
        <v>16244.261256822316</v>
      </c>
      <c r="V267" s="183">
        <f t="shared" si="28"/>
        <v>12872.088768947202</v>
      </c>
      <c r="W267" s="183"/>
      <c r="X267" s="183"/>
      <c r="Y267" s="64" t="e">
        <f t="shared" si="29"/>
        <v>#N/A</v>
      </c>
      <c r="AA267" s="64" t="e">
        <f t="shared" si="30"/>
        <v>#N/A</v>
      </c>
      <c r="AC267" s="64" t="s">
        <v>1291</v>
      </c>
      <c r="AD267" s="64">
        <v>1401.4</v>
      </c>
      <c r="AH267" s="64" t="e">
        <f t="shared" si="31"/>
        <v>#N/A</v>
      </c>
      <c r="AS267" s="64" t="e">
        <f t="shared" si="32"/>
        <v>#N/A</v>
      </c>
    </row>
    <row r="268" spans="1:45" s="64" customFormat="1" ht="36" customHeight="1" x14ac:dyDescent="0.9">
      <c r="A268" s="64">
        <v>1</v>
      </c>
      <c r="B268" s="92">
        <f>SUBTOTAL(103,$A$16:A268)</f>
        <v>246</v>
      </c>
      <c r="C268" s="91" t="s">
        <v>671</v>
      </c>
      <c r="D268" s="126">
        <v>1896</v>
      </c>
      <c r="E268" s="126"/>
      <c r="F268" s="145" t="s">
        <v>273</v>
      </c>
      <c r="G268" s="126">
        <v>2</v>
      </c>
      <c r="H268" s="126">
        <v>1</v>
      </c>
      <c r="I268" s="118">
        <v>415.7</v>
      </c>
      <c r="J268" s="118">
        <v>392.3</v>
      </c>
      <c r="K268" s="118">
        <v>282.7</v>
      </c>
      <c r="L268" s="127">
        <v>23</v>
      </c>
      <c r="M268" s="126" t="s">
        <v>271</v>
      </c>
      <c r="N268" s="126" t="s">
        <v>275</v>
      </c>
      <c r="O268" s="124" t="s">
        <v>734</v>
      </c>
      <c r="P268" s="118">
        <v>3549468.85</v>
      </c>
      <c r="Q268" s="118">
        <v>0</v>
      </c>
      <c r="R268" s="118">
        <v>0</v>
      </c>
      <c r="S268" s="118">
        <f>P268-Q268-R268</f>
        <v>3549468.85</v>
      </c>
      <c r="T268" s="118">
        <f t="shared" si="36"/>
        <v>8538.5346403656495</v>
      </c>
      <c r="U268" s="118">
        <f>Y268+AG268</f>
        <v>12126.212457734408</v>
      </c>
      <c r="V268" s="183">
        <f t="shared" si="28"/>
        <v>3587.677817368758</v>
      </c>
      <c r="W268" s="183"/>
      <c r="X268" s="183"/>
      <c r="Y268" s="64">
        <f t="shared" si="29"/>
        <v>4697.9870098628817</v>
      </c>
      <c r="AA268" s="64">
        <f t="shared" si="30"/>
        <v>374</v>
      </c>
      <c r="AC268" s="64" t="s">
        <v>1288</v>
      </c>
      <c r="AD268" s="64">
        <v>467.74</v>
      </c>
      <c r="AG268" s="64">
        <f>AH268*6191.24/J268</f>
        <v>7428.2254478715267</v>
      </c>
      <c r="AH268" s="64">
        <f t="shared" si="31"/>
        <v>470.68</v>
      </c>
      <c r="AS268" s="64" t="e">
        <f t="shared" si="32"/>
        <v>#N/A</v>
      </c>
    </row>
    <row r="269" spans="1:45" s="64" customFormat="1" ht="36" customHeight="1" x14ac:dyDescent="0.9">
      <c r="A269" s="64">
        <v>1</v>
      </c>
      <c r="B269" s="92">
        <f>SUBTOTAL(103,$A$16:A269)</f>
        <v>247</v>
      </c>
      <c r="C269" s="91" t="s">
        <v>665</v>
      </c>
      <c r="D269" s="126">
        <v>1958</v>
      </c>
      <c r="E269" s="126"/>
      <c r="F269" s="145" t="s">
        <v>273</v>
      </c>
      <c r="G269" s="126">
        <v>3</v>
      </c>
      <c r="H269" s="126">
        <v>3</v>
      </c>
      <c r="I269" s="118">
        <v>1224.0999999999999</v>
      </c>
      <c r="J269" s="118">
        <v>1113.4000000000001</v>
      </c>
      <c r="K269" s="118">
        <v>755.9</v>
      </c>
      <c r="L269" s="127">
        <v>53</v>
      </c>
      <c r="M269" s="126" t="s">
        <v>271</v>
      </c>
      <c r="N269" s="126" t="s">
        <v>275</v>
      </c>
      <c r="O269" s="124" t="s">
        <v>734</v>
      </c>
      <c r="P269" s="118">
        <v>3778176.65</v>
      </c>
      <c r="Q269" s="118">
        <v>0</v>
      </c>
      <c r="R269" s="118">
        <v>0</v>
      </c>
      <c r="S269" s="118">
        <f>P269-Q269-R269</f>
        <v>3778176.65</v>
      </c>
      <c r="T269" s="118">
        <f t="shared" si="36"/>
        <v>3086.4934645862268</v>
      </c>
      <c r="U269" s="118">
        <f>Y269</f>
        <v>3086.9663998039377</v>
      </c>
      <c r="V269" s="183">
        <f t="shared" si="28"/>
        <v>0.47293521771098312</v>
      </c>
      <c r="W269" s="183"/>
      <c r="X269" s="183"/>
      <c r="Y269" s="64">
        <f t="shared" si="29"/>
        <v>3086.9663998039377</v>
      </c>
      <c r="AA269" s="64">
        <f t="shared" si="30"/>
        <v>723.65</v>
      </c>
      <c r="AC269" s="64" t="s">
        <v>90</v>
      </c>
      <c r="AD269" s="64">
        <v>426</v>
      </c>
      <c r="AH269" s="64" t="e">
        <f t="shared" si="31"/>
        <v>#N/A</v>
      </c>
      <c r="AS269" s="64" t="e">
        <f t="shared" si="32"/>
        <v>#N/A</v>
      </c>
    </row>
    <row r="270" spans="1:45" s="64" customFormat="1" ht="36" customHeight="1" x14ac:dyDescent="0.9">
      <c r="A270" s="64">
        <v>1</v>
      </c>
      <c r="B270" s="92">
        <f>SUBTOTAL(103,$A$16:A270)</f>
        <v>248</v>
      </c>
      <c r="C270" s="91" t="s">
        <v>670</v>
      </c>
      <c r="D270" s="126">
        <v>1984</v>
      </c>
      <c r="E270" s="126"/>
      <c r="F270" s="145" t="s">
        <v>273</v>
      </c>
      <c r="G270" s="126">
        <v>3</v>
      </c>
      <c r="H270" s="126">
        <v>3</v>
      </c>
      <c r="I270" s="118">
        <v>2162.5</v>
      </c>
      <c r="J270" s="118">
        <v>2162.5</v>
      </c>
      <c r="K270" s="118">
        <v>2047.6</v>
      </c>
      <c r="L270" s="127">
        <v>79</v>
      </c>
      <c r="M270" s="126" t="s">
        <v>271</v>
      </c>
      <c r="N270" s="126" t="s">
        <v>275</v>
      </c>
      <c r="O270" s="124" t="s">
        <v>728</v>
      </c>
      <c r="P270" s="118">
        <v>6011459.4000000004</v>
      </c>
      <c r="Q270" s="118">
        <v>0</v>
      </c>
      <c r="R270" s="118">
        <v>0</v>
      </c>
      <c r="S270" s="118">
        <f>P270-Q270-R270</f>
        <v>6011459.4000000004</v>
      </c>
      <c r="T270" s="118">
        <f t="shared" si="36"/>
        <v>2779.8656184971101</v>
      </c>
      <c r="U270" s="118">
        <f>Y270</f>
        <v>2780.2915699421969</v>
      </c>
      <c r="V270" s="183">
        <f t="shared" si="28"/>
        <v>0.42595144508686644</v>
      </c>
      <c r="W270" s="183"/>
      <c r="X270" s="183"/>
      <c r="Y270" s="64">
        <f t="shared" si="29"/>
        <v>2780.2915699421969</v>
      </c>
      <c r="AA270" s="64">
        <f t="shared" si="30"/>
        <v>1151.4000000000001</v>
      </c>
      <c r="AC270" s="64" t="s">
        <v>1296</v>
      </c>
      <c r="AD270" s="64">
        <v>949</v>
      </c>
      <c r="AH270" s="64" t="e">
        <f t="shared" si="31"/>
        <v>#N/A</v>
      </c>
      <c r="AS270" s="64" t="e">
        <f t="shared" si="32"/>
        <v>#N/A</v>
      </c>
    </row>
    <row r="271" spans="1:45" s="64" customFormat="1" ht="36" customHeight="1" x14ac:dyDescent="0.9">
      <c r="A271" s="64">
        <v>1</v>
      </c>
      <c r="B271" s="92">
        <f>SUBTOTAL(103,$A$16:A271)</f>
        <v>249</v>
      </c>
      <c r="C271" s="91" t="s">
        <v>1227</v>
      </c>
      <c r="D271" s="126">
        <v>1932</v>
      </c>
      <c r="E271" s="126"/>
      <c r="F271" s="145" t="s">
        <v>1355</v>
      </c>
      <c r="G271" s="126">
        <v>3</v>
      </c>
      <c r="H271" s="126">
        <v>5</v>
      </c>
      <c r="I271" s="118">
        <v>1954.2</v>
      </c>
      <c r="J271" s="118">
        <v>1319.2</v>
      </c>
      <c r="K271" s="118">
        <v>1319.2</v>
      </c>
      <c r="L271" s="127">
        <v>78</v>
      </c>
      <c r="M271" s="126" t="s">
        <v>271</v>
      </c>
      <c r="N271" s="126" t="s">
        <v>275</v>
      </c>
      <c r="O271" s="124" t="s">
        <v>1356</v>
      </c>
      <c r="P271" s="118">
        <v>8037304.830000001</v>
      </c>
      <c r="Q271" s="118">
        <v>0</v>
      </c>
      <c r="R271" s="118">
        <v>0</v>
      </c>
      <c r="S271" s="118">
        <f>P271-Q271-R271</f>
        <v>8037304.830000001</v>
      </c>
      <c r="T271" s="118">
        <f t="shared" si="36"/>
        <v>4112.8363678231508</v>
      </c>
      <c r="U271" s="118">
        <f>AG271</f>
        <v>16244.261256822316</v>
      </c>
      <c r="V271" s="183">
        <f t="shared" si="28"/>
        <v>12131.424888999165</v>
      </c>
      <c r="W271" s="183"/>
      <c r="X271" s="183"/>
      <c r="Y271" s="64" t="e">
        <f t="shared" si="29"/>
        <v>#N/A</v>
      </c>
      <c r="AA271" s="64" t="e">
        <f t="shared" si="30"/>
        <v>#N/A</v>
      </c>
      <c r="AC271" s="64" t="s">
        <v>92</v>
      </c>
      <c r="AD271" s="64">
        <v>613.20000000000005</v>
      </c>
      <c r="AG271" s="64">
        <f>AH271*6191.24/J271</f>
        <v>16244.261256822316</v>
      </c>
      <c r="AH271" s="64">
        <f t="shared" si="31"/>
        <v>3461.25</v>
      </c>
      <c r="AS271" s="64" t="e">
        <f t="shared" si="32"/>
        <v>#N/A</v>
      </c>
    </row>
    <row r="272" spans="1:45" s="64" customFormat="1" ht="36" customHeight="1" x14ac:dyDescent="0.9">
      <c r="A272" s="64">
        <v>1</v>
      </c>
      <c r="B272" s="92">
        <f>SUBTOTAL(103,$A$16:A272)</f>
        <v>250</v>
      </c>
      <c r="C272" s="91" t="s">
        <v>1212</v>
      </c>
      <c r="D272" s="126">
        <v>1882</v>
      </c>
      <c r="E272" s="126"/>
      <c r="F272" s="145" t="s">
        <v>273</v>
      </c>
      <c r="G272" s="126">
        <v>4</v>
      </c>
      <c r="H272" s="126">
        <v>2</v>
      </c>
      <c r="I272" s="118">
        <v>3453.2</v>
      </c>
      <c r="J272" s="118">
        <v>2382.5</v>
      </c>
      <c r="K272" s="118">
        <v>2143.5</v>
      </c>
      <c r="L272" s="127">
        <v>129</v>
      </c>
      <c r="M272" s="126" t="s">
        <v>271</v>
      </c>
      <c r="N272" s="126" t="s">
        <v>275</v>
      </c>
      <c r="O272" s="124" t="s">
        <v>734</v>
      </c>
      <c r="P272" s="118">
        <v>10475523.609999999</v>
      </c>
      <c r="Q272" s="118">
        <v>0</v>
      </c>
      <c r="R272" s="118">
        <v>0</v>
      </c>
      <c r="S272" s="118">
        <f>P272-Q272-R272</f>
        <v>10475523.609999999</v>
      </c>
      <c r="T272" s="118">
        <f t="shared" si="36"/>
        <v>3033.5699090698481</v>
      </c>
      <c r="U272" s="118">
        <f>T272</f>
        <v>3033.5699090698481</v>
      </c>
      <c r="V272" s="183">
        <f t="shared" si="28"/>
        <v>0</v>
      </c>
      <c r="W272" s="183"/>
      <c r="X272" s="183"/>
      <c r="Y272" s="64">
        <f t="shared" si="29"/>
        <v>3017.0668828912317</v>
      </c>
      <c r="AA272" s="64">
        <f t="shared" si="30"/>
        <v>1995.2</v>
      </c>
      <c r="AC272" s="64" t="s">
        <v>93</v>
      </c>
      <c r="AD272" s="64">
        <v>600</v>
      </c>
      <c r="AH272" s="64" t="e">
        <f t="shared" si="31"/>
        <v>#N/A</v>
      </c>
      <c r="AS272" s="64" t="e">
        <f t="shared" si="32"/>
        <v>#N/A</v>
      </c>
    </row>
    <row r="273" spans="1:45" s="64" customFormat="1" ht="36" customHeight="1" x14ac:dyDescent="0.9">
      <c r="A273" s="64">
        <v>1</v>
      </c>
      <c r="B273" s="92">
        <f>SUBTOTAL(103,$A$16:A273)</f>
        <v>251</v>
      </c>
      <c r="C273" s="91" t="s">
        <v>1615</v>
      </c>
      <c r="D273" s="126">
        <v>1939</v>
      </c>
      <c r="E273" s="126"/>
      <c r="F273" s="145" t="s">
        <v>1626</v>
      </c>
      <c r="G273" s="126">
        <v>3</v>
      </c>
      <c r="H273" s="126">
        <v>4</v>
      </c>
      <c r="I273" s="118">
        <v>1347.1</v>
      </c>
      <c r="J273" s="118">
        <v>1141.4000000000001</v>
      </c>
      <c r="K273" s="118">
        <f>J273</f>
        <v>1141.4000000000001</v>
      </c>
      <c r="L273" s="127">
        <v>49</v>
      </c>
      <c r="M273" s="126" t="s">
        <v>271</v>
      </c>
      <c r="N273" s="126" t="s">
        <v>275</v>
      </c>
      <c r="O273" s="124" t="s">
        <v>734</v>
      </c>
      <c r="P273" s="118">
        <v>3747417.18</v>
      </c>
      <c r="Q273" s="118">
        <v>0</v>
      </c>
      <c r="R273" s="118">
        <v>0</v>
      </c>
      <c r="S273" s="118">
        <f>P273-R273-Q273</f>
        <v>3747417.18</v>
      </c>
      <c r="T273" s="118">
        <f t="shared" si="36"/>
        <v>2781.8403830450602</v>
      </c>
      <c r="U273" s="118">
        <f>Y273</f>
        <v>3024.1939766906689</v>
      </c>
      <c r="V273" s="183">
        <f t="shared" ref="V273:V336" si="38">U273-T273</f>
        <v>242.35359364560873</v>
      </c>
      <c r="W273" s="183"/>
      <c r="X273" s="183"/>
      <c r="Y273" s="64">
        <f t="shared" ref="Y273:Y336" si="39">AA273*5221.8/I273</f>
        <v>3024.1939766906689</v>
      </c>
      <c r="AA273" s="64">
        <f t="shared" ref="AA273:AA336" si="40">VLOOKUP(C273,AC:AE,2,FALSE)</f>
        <v>780.17</v>
      </c>
      <c r="AC273" s="64" t="s">
        <v>94</v>
      </c>
      <c r="AD273" s="64">
        <v>1143</v>
      </c>
      <c r="AH273" s="64" t="e">
        <f t="shared" ref="AH273:AH336" si="41">VLOOKUP(C273,AJ:AK,2,FALSE)</f>
        <v>#N/A</v>
      </c>
      <c r="AS273" s="64" t="e">
        <f t="shared" ref="AS273:AS336" si="42">VLOOKUP(C273,AU:AV,2,FALSE)</f>
        <v>#N/A</v>
      </c>
    </row>
    <row r="274" spans="1:45" s="64" customFormat="1" ht="36" customHeight="1" x14ac:dyDescent="0.9">
      <c r="B274" s="91" t="s">
        <v>843</v>
      </c>
      <c r="C274" s="91"/>
      <c r="D274" s="126" t="s">
        <v>916</v>
      </c>
      <c r="E274" s="126" t="s">
        <v>916</v>
      </c>
      <c r="F274" s="126" t="s">
        <v>916</v>
      </c>
      <c r="G274" s="126" t="s">
        <v>916</v>
      </c>
      <c r="H274" s="126" t="s">
        <v>916</v>
      </c>
      <c r="I274" s="117">
        <f>SUM(I275:I278)</f>
        <v>15661.67</v>
      </c>
      <c r="J274" s="117">
        <f>SUM(J275:J278)</f>
        <v>11320.82</v>
      </c>
      <c r="K274" s="117">
        <f>SUM(K275:K278)</f>
        <v>10924.42</v>
      </c>
      <c r="L274" s="127">
        <f>SUM(L275:L278)</f>
        <v>532</v>
      </c>
      <c r="M274" s="126" t="s">
        <v>916</v>
      </c>
      <c r="N274" s="126" t="s">
        <v>916</v>
      </c>
      <c r="O274" s="124" t="s">
        <v>916</v>
      </c>
      <c r="P274" s="118">
        <v>17002898.350000001</v>
      </c>
      <c r="Q274" s="118">
        <f>SUM(Q275:Q278)</f>
        <v>0</v>
      </c>
      <c r="R274" s="118">
        <f>SUM(R275:R278)</f>
        <v>0</v>
      </c>
      <c r="S274" s="118">
        <f>SUM(S275:S278)</f>
        <v>17002898.350000001</v>
      </c>
      <c r="T274" s="118">
        <f t="shared" si="36"/>
        <v>1085.6376331515094</v>
      </c>
      <c r="U274" s="118">
        <f>MAX(U275:U278)</f>
        <v>3160.94</v>
      </c>
      <c r="V274" s="183">
        <f t="shared" si="38"/>
        <v>2075.3023668484907</v>
      </c>
      <c r="W274" s="183"/>
      <c r="X274" s="183"/>
      <c r="Y274" s="64" t="e">
        <f t="shared" si="39"/>
        <v>#N/A</v>
      </c>
      <c r="AA274" s="64" t="e">
        <f t="shared" si="40"/>
        <v>#N/A</v>
      </c>
      <c r="AC274" s="64" t="s">
        <v>95</v>
      </c>
      <c r="AD274" s="64">
        <v>600</v>
      </c>
      <c r="AH274" s="64" t="e">
        <f t="shared" si="41"/>
        <v>#N/A</v>
      </c>
      <c r="AS274" s="64" t="e">
        <f t="shared" si="42"/>
        <v>#N/A</v>
      </c>
    </row>
    <row r="275" spans="1:45" s="64" customFormat="1" ht="36" customHeight="1" x14ac:dyDescent="0.9">
      <c r="A275" s="64">
        <v>1</v>
      </c>
      <c r="B275" s="92">
        <f>SUBTOTAL(103,$A$16:A275)</f>
        <v>252</v>
      </c>
      <c r="C275" s="91" t="s">
        <v>675</v>
      </c>
      <c r="D275" s="126">
        <v>1972</v>
      </c>
      <c r="E275" s="126"/>
      <c r="F275" s="145" t="s">
        <v>273</v>
      </c>
      <c r="G275" s="126">
        <v>5</v>
      </c>
      <c r="H275" s="126">
        <v>4</v>
      </c>
      <c r="I275" s="118">
        <v>4295.76</v>
      </c>
      <c r="J275" s="118">
        <v>3325.76</v>
      </c>
      <c r="K275" s="118">
        <v>3325.76</v>
      </c>
      <c r="L275" s="127">
        <v>137</v>
      </c>
      <c r="M275" s="126" t="s">
        <v>271</v>
      </c>
      <c r="N275" s="126" t="s">
        <v>275</v>
      </c>
      <c r="O275" s="124" t="s">
        <v>1019</v>
      </c>
      <c r="P275" s="118">
        <v>6202548</v>
      </c>
      <c r="Q275" s="118">
        <v>0</v>
      </c>
      <c r="R275" s="118">
        <v>0</v>
      </c>
      <c r="S275" s="118">
        <f>P275-Q275-R275</f>
        <v>6202548</v>
      </c>
      <c r="T275" s="118">
        <f t="shared" si="36"/>
        <v>1443.8767528912228</v>
      </c>
      <c r="U275" s="118">
        <f>Y275</f>
        <v>1444.0979943013576</v>
      </c>
      <c r="V275" s="183">
        <f t="shared" si="38"/>
        <v>0.22124141013478038</v>
      </c>
      <c r="W275" s="183"/>
      <c r="X275" s="183"/>
      <c r="Y275" s="64">
        <f t="shared" si="39"/>
        <v>1444.0979943013576</v>
      </c>
      <c r="AA275" s="64">
        <f t="shared" si="40"/>
        <v>1188</v>
      </c>
      <c r="AC275" s="64" t="s">
        <v>189</v>
      </c>
      <c r="AD275" s="64">
        <v>255.2</v>
      </c>
      <c r="AH275" s="64" t="e">
        <f t="shared" si="41"/>
        <v>#N/A</v>
      </c>
      <c r="AS275" s="64" t="e">
        <f t="shared" si="42"/>
        <v>#N/A</v>
      </c>
    </row>
    <row r="276" spans="1:45" s="64" customFormat="1" ht="36" customHeight="1" x14ac:dyDescent="0.9">
      <c r="A276" s="64">
        <v>1</v>
      </c>
      <c r="B276" s="92">
        <f>SUBTOTAL(103,$A$16:A276)</f>
        <v>253</v>
      </c>
      <c r="C276" s="91" t="s">
        <v>672</v>
      </c>
      <c r="D276" s="126">
        <v>1978</v>
      </c>
      <c r="E276" s="126"/>
      <c r="F276" s="145" t="s">
        <v>273</v>
      </c>
      <c r="G276" s="126">
        <v>3</v>
      </c>
      <c r="H276" s="126">
        <v>2</v>
      </c>
      <c r="I276" s="118">
        <v>1569.6</v>
      </c>
      <c r="J276" s="118">
        <v>1094.4000000000001</v>
      </c>
      <c r="K276" s="118">
        <v>1094.4000000000001</v>
      </c>
      <c r="L276" s="127">
        <v>59</v>
      </c>
      <c r="M276" s="126" t="s">
        <v>271</v>
      </c>
      <c r="N276" s="126" t="s">
        <v>275</v>
      </c>
      <c r="O276" s="124" t="s">
        <v>1020</v>
      </c>
      <c r="P276" s="118">
        <v>3579794.97</v>
      </c>
      <c r="Q276" s="118">
        <v>0</v>
      </c>
      <c r="R276" s="118">
        <v>0</v>
      </c>
      <c r="S276" s="118">
        <f>P276-Q276-R276</f>
        <v>3579794.97</v>
      </c>
      <c r="T276" s="118">
        <f t="shared" si="36"/>
        <v>2280.7052561162081</v>
      </c>
      <c r="U276" s="118">
        <v>3160.94</v>
      </c>
      <c r="V276" s="183">
        <f t="shared" si="38"/>
        <v>880.23474388379191</v>
      </c>
      <c r="W276" s="183"/>
      <c r="X276" s="183"/>
      <c r="Y276" s="64" t="e">
        <f t="shared" si="39"/>
        <v>#N/A</v>
      </c>
      <c r="AA276" s="64" t="e">
        <f t="shared" si="40"/>
        <v>#N/A</v>
      </c>
      <c r="AC276" s="64" t="s">
        <v>188</v>
      </c>
      <c r="AD276" s="64">
        <v>297</v>
      </c>
      <c r="AH276" s="64" t="e">
        <f t="shared" si="41"/>
        <v>#N/A</v>
      </c>
      <c r="AS276" s="64" t="e">
        <f t="shared" si="42"/>
        <v>#N/A</v>
      </c>
    </row>
    <row r="277" spans="1:45" s="64" customFormat="1" ht="36" customHeight="1" x14ac:dyDescent="0.9">
      <c r="A277" s="64">
        <v>1</v>
      </c>
      <c r="B277" s="92">
        <f>SUBTOTAL(103,$A$16:A277)</f>
        <v>254</v>
      </c>
      <c r="C277" s="91" t="s">
        <v>1228</v>
      </c>
      <c r="D277" s="126">
        <v>1968</v>
      </c>
      <c r="E277" s="126"/>
      <c r="F277" s="145" t="s">
        <v>273</v>
      </c>
      <c r="G277" s="126">
        <v>5</v>
      </c>
      <c r="H277" s="126">
        <v>4</v>
      </c>
      <c r="I277" s="118">
        <v>4460.8999999999996</v>
      </c>
      <c r="J277" s="118">
        <v>2874.85</v>
      </c>
      <c r="K277" s="118">
        <v>2874.85</v>
      </c>
      <c r="L277" s="127">
        <v>114</v>
      </c>
      <c r="M277" s="126" t="s">
        <v>271</v>
      </c>
      <c r="N277" s="126" t="s">
        <v>275</v>
      </c>
      <c r="O277" s="124" t="s">
        <v>1357</v>
      </c>
      <c r="P277" s="118">
        <v>3650965.3</v>
      </c>
      <c r="Q277" s="118">
        <v>0</v>
      </c>
      <c r="R277" s="118">
        <v>0</v>
      </c>
      <c r="S277" s="118">
        <f>P277-Q277-R277</f>
        <v>3650965.3</v>
      </c>
      <c r="T277" s="118">
        <f t="shared" si="36"/>
        <v>818.43692976753573</v>
      </c>
      <c r="U277" s="118">
        <f>Y277</f>
        <v>1000.8381716693941</v>
      </c>
      <c r="V277" s="183">
        <f t="shared" si="38"/>
        <v>182.40124190185838</v>
      </c>
      <c r="W277" s="183"/>
      <c r="X277" s="183"/>
      <c r="Y277" s="64">
        <f t="shared" si="39"/>
        <v>1000.8381716693941</v>
      </c>
      <c r="AA277" s="64">
        <f t="shared" si="40"/>
        <v>855</v>
      </c>
      <c r="AC277" s="64" t="s">
        <v>1299</v>
      </c>
      <c r="AD277" s="64">
        <v>437.4</v>
      </c>
      <c r="AH277" s="64" t="e">
        <f t="shared" si="41"/>
        <v>#N/A</v>
      </c>
      <c r="AS277" s="64" t="e">
        <f t="shared" si="42"/>
        <v>#N/A</v>
      </c>
    </row>
    <row r="278" spans="1:45" s="64" customFormat="1" ht="36" customHeight="1" x14ac:dyDescent="0.9">
      <c r="A278" s="64">
        <v>1</v>
      </c>
      <c r="B278" s="92">
        <f>SUBTOTAL(103,$A$16:A278)</f>
        <v>255</v>
      </c>
      <c r="C278" s="91" t="s">
        <v>1214</v>
      </c>
      <c r="D278" s="126">
        <v>1990</v>
      </c>
      <c r="E278" s="126"/>
      <c r="F278" s="145" t="s">
        <v>273</v>
      </c>
      <c r="G278" s="126">
        <v>5</v>
      </c>
      <c r="H278" s="126">
        <v>6</v>
      </c>
      <c r="I278" s="118">
        <v>5335.41</v>
      </c>
      <c r="J278" s="118">
        <v>4025.81</v>
      </c>
      <c r="K278" s="118">
        <v>3629.41</v>
      </c>
      <c r="L278" s="127">
        <v>222</v>
      </c>
      <c r="M278" s="126" t="s">
        <v>271</v>
      </c>
      <c r="N278" s="126" t="s">
        <v>275</v>
      </c>
      <c r="O278" s="124" t="s">
        <v>1349</v>
      </c>
      <c r="P278" s="118">
        <v>3569590.08</v>
      </c>
      <c r="Q278" s="118">
        <v>0</v>
      </c>
      <c r="R278" s="118">
        <v>0</v>
      </c>
      <c r="S278" s="118">
        <f>P278-Q278-R278</f>
        <v>3569590.08</v>
      </c>
      <c r="T278" s="118">
        <f t="shared" si="36"/>
        <v>669.03763347146707</v>
      </c>
      <c r="U278" s="118">
        <f>Y278</f>
        <v>1131.2867464730923</v>
      </c>
      <c r="V278" s="183">
        <f t="shared" si="38"/>
        <v>462.24911300162523</v>
      </c>
      <c r="W278" s="183"/>
      <c r="X278" s="183"/>
      <c r="Y278" s="64">
        <f t="shared" si="39"/>
        <v>1131.2867464730923</v>
      </c>
      <c r="AA278" s="64">
        <f t="shared" si="40"/>
        <v>1155.9000000000001</v>
      </c>
      <c r="AC278" s="64" t="s">
        <v>1300</v>
      </c>
      <c r="AD278" s="64">
        <v>408</v>
      </c>
      <c r="AH278" s="64" t="e">
        <f t="shared" si="41"/>
        <v>#N/A</v>
      </c>
      <c r="AS278" s="64" t="e">
        <f t="shared" si="42"/>
        <v>#N/A</v>
      </c>
    </row>
    <row r="279" spans="1:45" s="64" customFormat="1" ht="36" customHeight="1" x14ac:dyDescent="0.9">
      <c r="B279" s="91" t="s">
        <v>1308</v>
      </c>
      <c r="C279" s="91"/>
      <c r="D279" s="126" t="s">
        <v>916</v>
      </c>
      <c r="E279" s="126" t="s">
        <v>916</v>
      </c>
      <c r="F279" s="126" t="s">
        <v>916</v>
      </c>
      <c r="G279" s="126" t="s">
        <v>916</v>
      </c>
      <c r="H279" s="126" t="s">
        <v>916</v>
      </c>
      <c r="I279" s="117">
        <f>I280</f>
        <v>762</v>
      </c>
      <c r="J279" s="117">
        <f>J280</f>
        <v>709</v>
      </c>
      <c r="K279" s="117">
        <f>K280</f>
        <v>709</v>
      </c>
      <c r="L279" s="127">
        <f>L280</f>
        <v>12</v>
      </c>
      <c r="M279" s="126" t="s">
        <v>916</v>
      </c>
      <c r="N279" s="126" t="s">
        <v>916</v>
      </c>
      <c r="O279" s="124" t="s">
        <v>916</v>
      </c>
      <c r="P279" s="118">
        <v>509455.14</v>
      </c>
      <c r="Q279" s="118">
        <f>Q280</f>
        <v>0</v>
      </c>
      <c r="R279" s="118">
        <f>R280</f>
        <v>0</v>
      </c>
      <c r="S279" s="118">
        <f>S280</f>
        <v>509455.14</v>
      </c>
      <c r="T279" s="118">
        <f t="shared" si="36"/>
        <v>668.57629921259843</v>
      </c>
      <c r="U279" s="118">
        <f>U280</f>
        <v>703.11</v>
      </c>
      <c r="V279" s="183">
        <f t="shared" si="38"/>
        <v>34.533700787401585</v>
      </c>
      <c r="W279" s="183"/>
      <c r="X279" s="183"/>
      <c r="Y279" s="64" t="e">
        <f t="shared" si="39"/>
        <v>#N/A</v>
      </c>
      <c r="AA279" s="64" t="e">
        <f t="shared" si="40"/>
        <v>#N/A</v>
      </c>
      <c r="AC279" s="64" t="s">
        <v>192</v>
      </c>
      <c r="AD279" s="64">
        <v>1028.5999999999999</v>
      </c>
      <c r="AH279" s="64" t="e">
        <f t="shared" si="41"/>
        <v>#N/A</v>
      </c>
      <c r="AS279" s="64" t="e">
        <f t="shared" si="42"/>
        <v>#N/A</v>
      </c>
    </row>
    <row r="280" spans="1:45" s="64" customFormat="1" ht="36" customHeight="1" x14ac:dyDescent="0.9">
      <c r="A280" s="64">
        <v>1</v>
      </c>
      <c r="B280" s="92">
        <f>SUBTOTAL(103,$A$16:A280)</f>
        <v>256</v>
      </c>
      <c r="C280" s="91" t="s">
        <v>1213</v>
      </c>
      <c r="D280" s="126">
        <v>1967</v>
      </c>
      <c r="E280" s="126"/>
      <c r="F280" s="145" t="s">
        <v>273</v>
      </c>
      <c r="G280" s="126">
        <v>2</v>
      </c>
      <c r="H280" s="126">
        <v>2</v>
      </c>
      <c r="I280" s="118">
        <v>762</v>
      </c>
      <c r="J280" s="118">
        <v>709</v>
      </c>
      <c r="K280" s="118">
        <v>709</v>
      </c>
      <c r="L280" s="127">
        <v>12</v>
      </c>
      <c r="M280" s="126" t="s">
        <v>271</v>
      </c>
      <c r="N280" s="126" t="s">
        <v>289</v>
      </c>
      <c r="O280" s="124" t="s">
        <v>274</v>
      </c>
      <c r="P280" s="118">
        <v>509455.14</v>
      </c>
      <c r="Q280" s="118">
        <v>0</v>
      </c>
      <c r="R280" s="118">
        <v>0</v>
      </c>
      <c r="S280" s="118">
        <f>P280-Q280-R280</f>
        <v>509455.14</v>
      </c>
      <c r="T280" s="118">
        <f t="shared" si="36"/>
        <v>668.57629921259843</v>
      </c>
      <c r="U280" s="118">
        <v>703.11</v>
      </c>
      <c r="V280" s="183">
        <f t="shared" si="38"/>
        <v>34.533700787401585</v>
      </c>
      <c r="W280" s="183"/>
      <c r="X280" s="183"/>
      <c r="Y280" s="64" t="e">
        <f t="shared" si="39"/>
        <v>#N/A</v>
      </c>
      <c r="AA280" s="64" t="e">
        <f t="shared" si="40"/>
        <v>#N/A</v>
      </c>
      <c r="AC280" s="64" t="s">
        <v>191</v>
      </c>
      <c r="AD280" s="64">
        <v>578.4</v>
      </c>
      <c r="AH280" s="64" t="e">
        <f t="shared" si="41"/>
        <v>#N/A</v>
      </c>
      <c r="AS280" s="64" t="e">
        <f t="shared" si="42"/>
        <v>#N/A</v>
      </c>
    </row>
    <row r="281" spans="1:45" s="64" customFormat="1" ht="36" customHeight="1" x14ac:dyDescent="0.9">
      <c r="B281" s="91" t="s">
        <v>844</v>
      </c>
      <c r="C281" s="172"/>
      <c r="D281" s="126" t="s">
        <v>916</v>
      </c>
      <c r="E281" s="126" t="s">
        <v>916</v>
      </c>
      <c r="F281" s="126" t="s">
        <v>916</v>
      </c>
      <c r="G281" s="126" t="s">
        <v>916</v>
      </c>
      <c r="H281" s="126" t="s">
        <v>916</v>
      </c>
      <c r="I281" s="117">
        <f>SUM(I282:I283)</f>
        <v>2259.1</v>
      </c>
      <c r="J281" s="117">
        <f>SUM(J282:J283)</f>
        <v>2114.1</v>
      </c>
      <c r="K281" s="117">
        <f>SUM(K282:K283)</f>
        <v>2070.3000000000002</v>
      </c>
      <c r="L281" s="127">
        <f>SUM(L282:L283)</f>
        <v>104</v>
      </c>
      <c r="M281" s="126" t="s">
        <v>916</v>
      </c>
      <c r="N281" s="126" t="s">
        <v>916</v>
      </c>
      <c r="O281" s="124" t="s">
        <v>916</v>
      </c>
      <c r="P281" s="118">
        <v>6114371.4100000011</v>
      </c>
      <c r="Q281" s="118">
        <f>SUM(Q282:Q283)</f>
        <v>0</v>
      </c>
      <c r="R281" s="118">
        <f>SUM(R282:R283)</f>
        <v>0</v>
      </c>
      <c r="S281" s="118">
        <f>SUM(S282:S283)</f>
        <v>6114371.4100000011</v>
      </c>
      <c r="T281" s="118">
        <f t="shared" si="36"/>
        <v>2706.5519056261351</v>
      </c>
      <c r="U281" s="118">
        <f>MAX(U282:U283)</f>
        <v>4877.1452067381315</v>
      </c>
      <c r="V281" s="183">
        <f t="shared" si="38"/>
        <v>2170.5933011119964</v>
      </c>
      <c r="W281" s="183"/>
      <c r="X281" s="183"/>
      <c r="Y281" s="64" t="e">
        <f t="shared" si="39"/>
        <v>#N/A</v>
      </c>
      <c r="AA281" s="64" t="e">
        <f t="shared" si="40"/>
        <v>#N/A</v>
      </c>
      <c r="AC281" s="64" t="s">
        <v>190</v>
      </c>
      <c r="AD281" s="64">
        <v>378</v>
      </c>
      <c r="AH281" s="64" t="e">
        <f t="shared" si="41"/>
        <v>#N/A</v>
      </c>
      <c r="AS281" s="64" t="e">
        <f t="shared" si="42"/>
        <v>#N/A</v>
      </c>
    </row>
    <row r="282" spans="1:45" s="64" customFormat="1" ht="36" customHeight="1" x14ac:dyDescent="0.9">
      <c r="A282" s="64">
        <v>1</v>
      </c>
      <c r="B282" s="92">
        <f>SUBTOTAL(103,$A$16:A282)</f>
        <v>257</v>
      </c>
      <c r="C282" s="91" t="s">
        <v>700</v>
      </c>
      <c r="D282" s="126">
        <v>1982</v>
      </c>
      <c r="E282" s="126"/>
      <c r="F282" s="145" t="s">
        <v>273</v>
      </c>
      <c r="G282" s="126">
        <v>3</v>
      </c>
      <c r="H282" s="126">
        <v>3</v>
      </c>
      <c r="I282" s="118">
        <v>1997.9</v>
      </c>
      <c r="J282" s="118">
        <v>1878</v>
      </c>
      <c r="K282" s="118">
        <v>1878</v>
      </c>
      <c r="L282" s="127">
        <v>88</v>
      </c>
      <c r="M282" s="126" t="s">
        <v>271</v>
      </c>
      <c r="N282" s="126" t="s">
        <v>272</v>
      </c>
      <c r="O282" s="124" t="s">
        <v>274</v>
      </c>
      <c r="P282" s="118">
        <v>4930867.1600000011</v>
      </c>
      <c r="Q282" s="118">
        <v>0</v>
      </c>
      <c r="R282" s="118">
        <v>0</v>
      </c>
      <c r="S282" s="118">
        <f>P282-Q282-R282</f>
        <v>4930867.1600000011</v>
      </c>
      <c r="T282" s="118">
        <f t="shared" si="36"/>
        <v>2468.0250062565697</v>
      </c>
      <c r="U282" s="118">
        <f>Y282</f>
        <v>2671.1445017268134</v>
      </c>
      <c r="V282" s="183">
        <f t="shared" si="38"/>
        <v>203.11949547024369</v>
      </c>
      <c r="W282" s="183"/>
      <c r="X282" s="183"/>
      <c r="Y282" s="64">
        <f t="shared" si="39"/>
        <v>2671.1445017268134</v>
      </c>
      <c r="AA282" s="64">
        <f t="shared" si="40"/>
        <v>1022</v>
      </c>
      <c r="AC282" s="64" t="s">
        <v>221</v>
      </c>
      <c r="AD282" s="64">
        <v>1057.07</v>
      </c>
      <c r="AH282" s="64" t="e">
        <f t="shared" si="41"/>
        <v>#N/A</v>
      </c>
      <c r="AS282" s="64" t="e">
        <f t="shared" si="42"/>
        <v>#N/A</v>
      </c>
    </row>
    <row r="283" spans="1:45" s="64" customFormat="1" ht="36" customHeight="1" x14ac:dyDescent="0.9">
      <c r="A283" s="64">
        <v>1</v>
      </c>
      <c r="B283" s="92">
        <f>SUBTOTAL(103,$A$16:A283)</f>
        <v>258</v>
      </c>
      <c r="C283" s="91" t="s">
        <v>698</v>
      </c>
      <c r="D283" s="126">
        <v>1905</v>
      </c>
      <c r="E283" s="126"/>
      <c r="F283" s="145" t="s">
        <v>273</v>
      </c>
      <c r="G283" s="126">
        <v>2</v>
      </c>
      <c r="H283" s="126">
        <v>1</v>
      </c>
      <c r="I283" s="118">
        <v>261.2</v>
      </c>
      <c r="J283" s="118">
        <v>236.1</v>
      </c>
      <c r="K283" s="118">
        <v>192.3</v>
      </c>
      <c r="L283" s="127">
        <v>16</v>
      </c>
      <c r="M283" s="126" t="s">
        <v>271</v>
      </c>
      <c r="N283" s="126" t="s">
        <v>272</v>
      </c>
      <c r="O283" s="124" t="s">
        <v>274</v>
      </c>
      <c r="P283" s="118">
        <v>1183504.2499999998</v>
      </c>
      <c r="Q283" s="118">
        <v>0</v>
      </c>
      <c r="R283" s="118">
        <v>0</v>
      </c>
      <c r="S283" s="118">
        <f>P283-Q283-R283</f>
        <v>1183504.2499999998</v>
      </c>
      <c r="T283" s="118">
        <f t="shared" si="36"/>
        <v>4531.0269908116379</v>
      </c>
      <c r="U283" s="118">
        <f>Y283</f>
        <v>4877.1452067381315</v>
      </c>
      <c r="V283" s="183">
        <f t="shared" si="38"/>
        <v>346.11821592649358</v>
      </c>
      <c r="W283" s="183"/>
      <c r="X283" s="183"/>
      <c r="Y283" s="64">
        <f t="shared" si="39"/>
        <v>4877.1452067381315</v>
      </c>
      <c r="AA283" s="64">
        <f t="shared" si="40"/>
        <v>243.96</v>
      </c>
      <c r="AC283" s="64" t="s">
        <v>225</v>
      </c>
      <c r="AD283" s="64">
        <v>615.20000000000005</v>
      </c>
      <c r="AH283" s="64" t="e">
        <f t="shared" si="41"/>
        <v>#N/A</v>
      </c>
      <c r="AS283" s="64" t="e">
        <f t="shared" si="42"/>
        <v>#N/A</v>
      </c>
    </row>
    <row r="284" spans="1:45" s="64" customFormat="1" ht="36" customHeight="1" x14ac:dyDescent="0.9">
      <c r="B284" s="91" t="s">
        <v>845</v>
      </c>
      <c r="C284" s="91"/>
      <c r="D284" s="126" t="s">
        <v>916</v>
      </c>
      <c r="E284" s="126" t="s">
        <v>916</v>
      </c>
      <c r="F284" s="126" t="s">
        <v>916</v>
      </c>
      <c r="G284" s="126" t="s">
        <v>916</v>
      </c>
      <c r="H284" s="126" t="s">
        <v>916</v>
      </c>
      <c r="I284" s="117">
        <f>SUM(I285:I289)</f>
        <v>4271.2</v>
      </c>
      <c r="J284" s="117">
        <f>SUM(J285:J289)</f>
        <v>3882.2</v>
      </c>
      <c r="K284" s="117">
        <f>SUM(K285:K289)</f>
        <v>3661.5999999999995</v>
      </c>
      <c r="L284" s="127">
        <f>SUM(L285:L289)</f>
        <v>161</v>
      </c>
      <c r="M284" s="126" t="s">
        <v>916</v>
      </c>
      <c r="N284" s="126" t="s">
        <v>916</v>
      </c>
      <c r="O284" s="124" t="s">
        <v>916</v>
      </c>
      <c r="P284" s="118">
        <v>13474518.75</v>
      </c>
      <c r="Q284" s="118">
        <f>SUM(Q285:Q289)</f>
        <v>0</v>
      </c>
      <c r="R284" s="118">
        <f>SUM(R285:R289)</f>
        <v>0</v>
      </c>
      <c r="S284" s="118">
        <f>SUM(S285:S289)</f>
        <v>13474518.75</v>
      </c>
      <c r="T284" s="118">
        <f t="shared" si="36"/>
        <v>3154.7384224573893</v>
      </c>
      <c r="U284" s="118">
        <f>MAX(U285:U289)</f>
        <v>7198.1160456002854</v>
      </c>
      <c r="V284" s="183">
        <f t="shared" si="38"/>
        <v>4043.377623142896</v>
      </c>
      <c r="W284" s="183"/>
      <c r="X284" s="183"/>
      <c r="Y284" s="64" t="e">
        <f t="shared" si="39"/>
        <v>#N/A</v>
      </c>
      <c r="AA284" s="64" t="e">
        <f t="shared" si="40"/>
        <v>#N/A</v>
      </c>
      <c r="AC284" s="64" t="s">
        <v>1120</v>
      </c>
      <c r="AD284" s="64">
        <v>240</v>
      </c>
      <c r="AH284" s="64" t="e">
        <f t="shared" si="41"/>
        <v>#N/A</v>
      </c>
      <c r="AS284" s="64" t="e">
        <f t="shared" si="42"/>
        <v>#N/A</v>
      </c>
    </row>
    <row r="285" spans="1:45" s="64" customFormat="1" ht="36" customHeight="1" x14ac:dyDescent="0.9">
      <c r="A285" s="64">
        <v>1</v>
      </c>
      <c r="B285" s="92">
        <f>SUBTOTAL(103,$A$16:A285)</f>
        <v>259</v>
      </c>
      <c r="C285" s="91" t="s">
        <v>713</v>
      </c>
      <c r="D285" s="126">
        <v>1968</v>
      </c>
      <c r="E285" s="126">
        <v>2010</v>
      </c>
      <c r="F285" s="145" t="s">
        <v>273</v>
      </c>
      <c r="G285" s="126">
        <v>2</v>
      </c>
      <c r="H285" s="126">
        <v>2</v>
      </c>
      <c r="I285" s="118">
        <v>794.9</v>
      </c>
      <c r="J285" s="118">
        <v>734.9</v>
      </c>
      <c r="K285" s="118">
        <v>734.9</v>
      </c>
      <c r="L285" s="127">
        <v>21</v>
      </c>
      <c r="M285" s="126" t="s">
        <v>271</v>
      </c>
      <c r="N285" s="126" t="s">
        <v>349</v>
      </c>
      <c r="O285" s="124" t="s">
        <v>739</v>
      </c>
      <c r="P285" s="118">
        <v>2242518.08</v>
      </c>
      <c r="Q285" s="118">
        <v>0</v>
      </c>
      <c r="R285" s="118">
        <v>0</v>
      </c>
      <c r="S285" s="118">
        <f>P285-Q285-R285</f>
        <v>2242518.08</v>
      </c>
      <c r="T285" s="118">
        <f t="shared" si="36"/>
        <v>2821.1323185306328</v>
      </c>
      <c r="U285" s="118">
        <f>AG285</f>
        <v>5116.2607865015643</v>
      </c>
      <c r="V285" s="183">
        <f t="shared" si="38"/>
        <v>2295.1284679709315</v>
      </c>
      <c r="W285" s="183"/>
      <c r="X285" s="183"/>
      <c r="Y285" s="64" t="e">
        <f t="shared" si="39"/>
        <v>#N/A</v>
      </c>
      <c r="AA285" s="64" t="e">
        <f t="shared" si="40"/>
        <v>#N/A</v>
      </c>
      <c r="AC285" s="64" t="s">
        <v>227</v>
      </c>
      <c r="AD285" s="64">
        <v>289.86</v>
      </c>
      <c r="AG285" s="64">
        <f>AH285*6191.24/J285</f>
        <v>5116.2607865015643</v>
      </c>
      <c r="AH285" s="64">
        <f t="shared" si="41"/>
        <v>607.29999999999995</v>
      </c>
      <c r="AS285" s="64" t="e">
        <f t="shared" si="42"/>
        <v>#N/A</v>
      </c>
    </row>
    <row r="286" spans="1:45" s="64" customFormat="1" ht="36" customHeight="1" x14ac:dyDescent="0.9">
      <c r="A286" s="64">
        <v>1</v>
      </c>
      <c r="B286" s="92">
        <f>SUBTOTAL(103,$A$16:A286)</f>
        <v>260</v>
      </c>
      <c r="C286" s="91" t="s">
        <v>1231</v>
      </c>
      <c r="D286" s="126">
        <v>1962</v>
      </c>
      <c r="E286" s="126"/>
      <c r="F286" s="145" t="s">
        <v>273</v>
      </c>
      <c r="G286" s="126">
        <v>2</v>
      </c>
      <c r="H286" s="126">
        <v>2</v>
      </c>
      <c r="I286" s="118">
        <v>722.8</v>
      </c>
      <c r="J286" s="118">
        <v>668.8</v>
      </c>
      <c r="K286" s="118">
        <v>668.8</v>
      </c>
      <c r="L286" s="127">
        <v>29</v>
      </c>
      <c r="M286" s="126" t="s">
        <v>271</v>
      </c>
      <c r="N286" s="126" t="s">
        <v>349</v>
      </c>
      <c r="O286" s="124" t="s">
        <v>748</v>
      </c>
      <c r="P286" s="118">
        <v>3342143.64</v>
      </c>
      <c r="Q286" s="118">
        <v>0</v>
      </c>
      <c r="R286" s="118">
        <v>0</v>
      </c>
      <c r="S286" s="118">
        <f>P286-Q286-R286</f>
        <v>3342143.64</v>
      </c>
      <c r="T286" s="118">
        <f t="shared" si="36"/>
        <v>4623.8843940232437</v>
      </c>
      <c r="U286" s="118">
        <f>AG286</f>
        <v>5991.2836842105262</v>
      </c>
      <c r="V286" s="183">
        <f t="shared" si="38"/>
        <v>1367.3992901872825</v>
      </c>
      <c r="W286" s="183"/>
      <c r="X286" s="183"/>
      <c r="Y286" s="64" t="e">
        <f t="shared" si="39"/>
        <v>#N/A</v>
      </c>
      <c r="AA286" s="64" t="e">
        <f t="shared" si="40"/>
        <v>#N/A</v>
      </c>
      <c r="AC286" s="64" t="s">
        <v>539</v>
      </c>
      <c r="AD286" s="64">
        <v>940</v>
      </c>
      <c r="AG286" s="64">
        <f>AH286*6191.24/J286</f>
        <v>5991.2836842105262</v>
      </c>
      <c r="AH286" s="64">
        <f t="shared" si="41"/>
        <v>647.20000000000005</v>
      </c>
      <c r="AS286" s="64" t="e">
        <f t="shared" si="42"/>
        <v>#N/A</v>
      </c>
    </row>
    <row r="287" spans="1:45" s="64" customFormat="1" ht="36" customHeight="1" x14ac:dyDescent="0.9">
      <c r="A287" s="64">
        <v>1</v>
      </c>
      <c r="B287" s="92">
        <f>SUBTOTAL(103,$A$16:A287)</f>
        <v>261</v>
      </c>
      <c r="C287" s="91" t="s">
        <v>1232</v>
      </c>
      <c r="D287" s="126">
        <v>1961</v>
      </c>
      <c r="E287" s="126"/>
      <c r="F287" s="145" t="s">
        <v>273</v>
      </c>
      <c r="G287" s="126">
        <v>2</v>
      </c>
      <c r="H287" s="126">
        <v>1</v>
      </c>
      <c r="I287" s="118">
        <v>678.3</v>
      </c>
      <c r="J287" s="118">
        <v>561.4</v>
      </c>
      <c r="K287" s="118">
        <v>388.6</v>
      </c>
      <c r="L287" s="127">
        <v>26</v>
      </c>
      <c r="M287" s="126" t="s">
        <v>271</v>
      </c>
      <c r="N287" s="126" t="s">
        <v>349</v>
      </c>
      <c r="O287" s="124" t="s">
        <v>748</v>
      </c>
      <c r="P287" s="118">
        <v>3337360.9</v>
      </c>
      <c r="Q287" s="118">
        <v>0</v>
      </c>
      <c r="R287" s="118">
        <v>0</v>
      </c>
      <c r="S287" s="118">
        <f>P287-Q287-R287</f>
        <v>3337360.9</v>
      </c>
      <c r="T287" s="118">
        <f t="shared" si="36"/>
        <v>4920.1841368126197</v>
      </c>
      <c r="U287" s="118">
        <f>AG287</f>
        <v>7198.1160456002854</v>
      </c>
      <c r="V287" s="183">
        <f t="shared" si="38"/>
        <v>2277.9319087876656</v>
      </c>
      <c r="W287" s="183"/>
      <c r="X287" s="183"/>
      <c r="Y287" s="64" t="e">
        <f t="shared" si="39"/>
        <v>#N/A</v>
      </c>
      <c r="AA287" s="64" t="e">
        <f t="shared" si="40"/>
        <v>#N/A</v>
      </c>
      <c r="AC287" s="64" t="s">
        <v>540</v>
      </c>
      <c r="AD287" s="64">
        <v>960</v>
      </c>
      <c r="AG287" s="64">
        <f>AH287*6191.24/J287</f>
        <v>7198.1160456002854</v>
      </c>
      <c r="AH287" s="64">
        <f t="shared" si="41"/>
        <v>652.70000000000005</v>
      </c>
      <c r="AS287" s="64" t="e">
        <f t="shared" si="42"/>
        <v>#N/A</v>
      </c>
    </row>
    <row r="288" spans="1:45" s="64" customFormat="1" ht="36" customHeight="1" x14ac:dyDescent="0.9">
      <c r="A288" s="64">
        <v>1</v>
      </c>
      <c r="B288" s="92">
        <f>SUBTOTAL(103,$A$16:A288)</f>
        <v>262</v>
      </c>
      <c r="C288" s="91" t="s">
        <v>1233</v>
      </c>
      <c r="D288" s="126">
        <v>1975</v>
      </c>
      <c r="E288" s="126"/>
      <c r="F288" s="145" t="s">
        <v>273</v>
      </c>
      <c r="G288" s="126">
        <v>2</v>
      </c>
      <c r="H288" s="126">
        <v>2</v>
      </c>
      <c r="I288" s="118">
        <v>984.2</v>
      </c>
      <c r="J288" s="118">
        <v>894.4</v>
      </c>
      <c r="K288" s="118">
        <v>846.6</v>
      </c>
      <c r="L288" s="127">
        <v>46</v>
      </c>
      <c r="M288" s="126" t="s">
        <v>271</v>
      </c>
      <c r="N288" s="126" t="s">
        <v>349</v>
      </c>
      <c r="O288" s="124" t="s">
        <v>748</v>
      </c>
      <c r="P288" s="118">
        <v>1087450.3500000001</v>
      </c>
      <c r="Q288" s="118">
        <v>0</v>
      </c>
      <c r="R288" s="118">
        <v>0</v>
      </c>
      <c r="S288" s="118">
        <f>P288-Q288-R288</f>
        <v>1087450.3500000001</v>
      </c>
      <c r="T288" s="118">
        <f t="shared" si="36"/>
        <v>1104.9078947368421</v>
      </c>
      <c r="U288" s="118">
        <v>3023.77</v>
      </c>
      <c r="V288" s="183">
        <f t="shared" si="38"/>
        <v>1918.8621052631579</v>
      </c>
      <c r="W288" s="183"/>
      <c r="X288" s="183"/>
      <c r="Y288" s="64" t="e">
        <f t="shared" si="39"/>
        <v>#N/A</v>
      </c>
      <c r="AA288" s="64" t="e">
        <f t="shared" si="40"/>
        <v>#N/A</v>
      </c>
      <c r="AC288" s="64" t="s">
        <v>541</v>
      </c>
      <c r="AD288" s="64">
        <v>960</v>
      </c>
      <c r="AH288" s="64" t="e">
        <f t="shared" si="41"/>
        <v>#N/A</v>
      </c>
      <c r="AS288" s="64" t="e">
        <f t="shared" si="42"/>
        <v>#N/A</v>
      </c>
    </row>
    <row r="289" spans="1:45" s="64" customFormat="1" ht="36" customHeight="1" x14ac:dyDescent="0.9">
      <c r="A289" s="64">
        <v>1</v>
      </c>
      <c r="B289" s="92">
        <f>SUBTOTAL(103,$A$16:A289)</f>
        <v>263</v>
      </c>
      <c r="C289" s="91" t="s">
        <v>1234</v>
      </c>
      <c r="D289" s="126">
        <v>1992</v>
      </c>
      <c r="E289" s="126"/>
      <c r="F289" s="145" t="s">
        <v>273</v>
      </c>
      <c r="G289" s="126">
        <v>3</v>
      </c>
      <c r="H289" s="126">
        <v>2</v>
      </c>
      <c r="I289" s="118">
        <v>1091</v>
      </c>
      <c r="J289" s="118">
        <v>1022.7</v>
      </c>
      <c r="K289" s="118">
        <v>1022.7</v>
      </c>
      <c r="L289" s="127">
        <v>39</v>
      </c>
      <c r="M289" s="126" t="s">
        <v>271</v>
      </c>
      <c r="N289" s="126" t="s">
        <v>275</v>
      </c>
      <c r="O289" s="124" t="s">
        <v>1367</v>
      </c>
      <c r="P289" s="118">
        <v>3465045.78</v>
      </c>
      <c r="Q289" s="118">
        <v>0</v>
      </c>
      <c r="R289" s="118">
        <v>0</v>
      </c>
      <c r="S289" s="118">
        <f>P289-Q289-R289</f>
        <v>3465045.78</v>
      </c>
      <c r="T289" s="118">
        <f t="shared" si="36"/>
        <v>3176.0272960586617</v>
      </c>
      <c r="U289" s="118">
        <v>3176.0272960586617</v>
      </c>
      <c r="V289" s="183">
        <f t="shared" si="38"/>
        <v>0</v>
      </c>
      <c r="W289" s="183"/>
      <c r="X289" s="183"/>
      <c r="Y289" s="64" t="e">
        <f t="shared" si="39"/>
        <v>#N/A</v>
      </c>
      <c r="AA289" s="64" t="e">
        <f t="shared" si="40"/>
        <v>#N/A</v>
      </c>
      <c r="AC289" s="64" t="s">
        <v>542</v>
      </c>
      <c r="AD289" s="64">
        <v>657.1</v>
      </c>
      <c r="AH289" s="64" t="e">
        <f t="shared" si="41"/>
        <v>#N/A</v>
      </c>
      <c r="AS289" s="64" t="e">
        <f t="shared" si="42"/>
        <v>#N/A</v>
      </c>
    </row>
    <row r="290" spans="1:45" s="64" customFormat="1" ht="36" customHeight="1" x14ac:dyDescent="0.9">
      <c r="B290" s="91" t="s">
        <v>846</v>
      </c>
      <c r="C290" s="91"/>
      <c r="D290" s="126" t="s">
        <v>916</v>
      </c>
      <c r="E290" s="126" t="s">
        <v>916</v>
      </c>
      <c r="F290" s="126" t="s">
        <v>916</v>
      </c>
      <c r="G290" s="126" t="s">
        <v>916</v>
      </c>
      <c r="H290" s="126" t="s">
        <v>916</v>
      </c>
      <c r="I290" s="117">
        <f>SUM(I291:I295)</f>
        <v>2996.9</v>
      </c>
      <c r="J290" s="117">
        <f>SUM(J291:J295)</f>
        <v>2371.2000000000003</v>
      </c>
      <c r="K290" s="117">
        <f>SUM(K291:K295)</f>
        <v>1491.3</v>
      </c>
      <c r="L290" s="127">
        <f>SUM(L291:L295)</f>
        <v>130</v>
      </c>
      <c r="M290" s="126" t="s">
        <v>916</v>
      </c>
      <c r="N290" s="126" t="s">
        <v>916</v>
      </c>
      <c r="O290" s="124" t="s">
        <v>916</v>
      </c>
      <c r="P290" s="118">
        <v>4109300.7899999996</v>
      </c>
      <c r="Q290" s="118">
        <f>SUM(Q291:Q295)</f>
        <v>0</v>
      </c>
      <c r="R290" s="118">
        <f>SUM(R291:R295)</f>
        <v>0</v>
      </c>
      <c r="S290" s="118">
        <f>SUM(S291:S295)</f>
        <v>4109300.7899999996</v>
      </c>
      <c r="T290" s="118">
        <f t="shared" si="36"/>
        <v>1371.1838199472786</v>
      </c>
      <c r="U290" s="118">
        <f>MAX(U291:U295)</f>
        <v>3476.5272483221479</v>
      </c>
      <c r="V290" s="183">
        <f t="shared" si="38"/>
        <v>2105.3434283748693</v>
      </c>
      <c r="W290" s="183"/>
      <c r="X290" s="183"/>
      <c r="Y290" s="64" t="e">
        <f t="shared" si="39"/>
        <v>#N/A</v>
      </c>
      <c r="AA290" s="64" t="e">
        <f t="shared" si="40"/>
        <v>#N/A</v>
      </c>
      <c r="AC290" s="64" t="s">
        <v>545</v>
      </c>
      <c r="AD290" s="64">
        <v>980</v>
      </c>
      <c r="AH290" s="64" t="e">
        <f t="shared" si="41"/>
        <v>#N/A</v>
      </c>
      <c r="AS290" s="64" t="e">
        <f t="shared" si="42"/>
        <v>#N/A</v>
      </c>
    </row>
    <row r="291" spans="1:45" s="64" customFormat="1" ht="36" customHeight="1" x14ac:dyDescent="0.9">
      <c r="A291" s="64">
        <v>1</v>
      </c>
      <c r="B291" s="92">
        <f>SUBTOTAL(103,$A$16:A291)</f>
        <v>264</v>
      </c>
      <c r="C291" s="91" t="s">
        <v>714</v>
      </c>
      <c r="D291" s="126">
        <v>1962</v>
      </c>
      <c r="E291" s="126"/>
      <c r="F291" s="145" t="s">
        <v>273</v>
      </c>
      <c r="G291" s="126">
        <v>2</v>
      </c>
      <c r="H291" s="126">
        <v>2</v>
      </c>
      <c r="I291" s="118">
        <v>745</v>
      </c>
      <c r="J291" s="118">
        <v>657.6</v>
      </c>
      <c r="K291" s="118">
        <v>41.5</v>
      </c>
      <c r="L291" s="127">
        <v>48</v>
      </c>
      <c r="M291" s="126" t="s">
        <v>271</v>
      </c>
      <c r="N291" s="126" t="s">
        <v>272</v>
      </c>
      <c r="O291" s="124" t="s">
        <v>274</v>
      </c>
      <c r="P291" s="118">
        <v>2525399.5999999996</v>
      </c>
      <c r="Q291" s="118">
        <v>0</v>
      </c>
      <c r="R291" s="118">
        <v>0</v>
      </c>
      <c r="S291" s="118">
        <f>P291-Q291-R291</f>
        <v>2525399.5999999996</v>
      </c>
      <c r="T291" s="118">
        <f t="shared" si="36"/>
        <v>3389.7981208053689</v>
      </c>
      <c r="U291" s="118">
        <f>Y291</f>
        <v>3476.5272483221479</v>
      </c>
      <c r="V291" s="183">
        <f t="shared" si="38"/>
        <v>86.729127516779045</v>
      </c>
      <c r="W291" s="183"/>
      <c r="X291" s="183"/>
      <c r="Y291" s="64">
        <f t="shared" si="39"/>
        <v>3476.5272483221479</v>
      </c>
      <c r="AA291" s="64">
        <f t="shared" si="40"/>
        <v>496</v>
      </c>
      <c r="AC291" s="64" t="s">
        <v>546</v>
      </c>
      <c r="AD291" s="64">
        <v>710</v>
      </c>
      <c r="AH291" s="64" t="e">
        <f t="shared" si="41"/>
        <v>#N/A</v>
      </c>
      <c r="AS291" s="64" t="e">
        <f t="shared" si="42"/>
        <v>#N/A</v>
      </c>
    </row>
    <row r="292" spans="1:45" s="64" customFormat="1" ht="36" customHeight="1" x14ac:dyDescent="0.9">
      <c r="A292" s="64">
        <v>1</v>
      </c>
      <c r="B292" s="92">
        <f>SUBTOTAL(103,$A$16:A292)</f>
        <v>265</v>
      </c>
      <c r="C292" s="91" t="s">
        <v>706</v>
      </c>
      <c r="D292" s="126">
        <v>1938</v>
      </c>
      <c r="E292" s="126"/>
      <c r="F292" s="145" t="s">
        <v>338</v>
      </c>
      <c r="G292" s="126">
        <v>2</v>
      </c>
      <c r="H292" s="126">
        <v>1</v>
      </c>
      <c r="I292" s="118">
        <v>244.9</v>
      </c>
      <c r="J292" s="118">
        <v>223.9</v>
      </c>
      <c r="K292" s="118">
        <v>210.8</v>
      </c>
      <c r="L292" s="127">
        <v>15</v>
      </c>
      <c r="M292" s="126" t="s">
        <v>271</v>
      </c>
      <c r="N292" s="126" t="s">
        <v>272</v>
      </c>
      <c r="O292" s="124" t="s">
        <v>274</v>
      </c>
      <c r="P292" s="118">
        <v>197764.79</v>
      </c>
      <c r="Q292" s="118">
        <v>0</v>
      </c>
      <c r="R292" s="118">
        <v>0</v>
      </c>
      <c r="S292" s="118">
        <f>P292-Q292-R292</f>
        <v>197764.79</v>
      </c>
      <c r="T292" s="118">
        <f t="shared" si="36"/>
        <v>807.53282972641898</v>
      </c>
      <c r="U292" s="118">
        <v>807.53282972641898</v>
      </c>
      <c r="V292" s="183">
        <f t="shared" si="38"/>
        <v>0</v>
      </c>
      <c r="W292" s="183"/>
      <c r="X292" s="183"/>
      <c r="Y292" s="64" t="e">
        <f t="shared" si="39"/>
        <v>#N/A</v>
      </c>
      <c r="AA292" s="64" t="e">
        <f t="shared" si="40"/>
        <v>#N/A</v>
      </c>
      <c r="AC292" s="64" t="s">
        <v>547</v>
      </c>
      <c r="AD292" s="64">
        <v>520</v>
      </c>
      <c r="AH292" s="64" t="e">
        <f t="shared" si="41"/>
        <v>#N/A</v>
      </c>
      <c r="AS292" s="64" t="e">
        <f t="shared" si="42"/>
        <v>#N/A</v>
      </c>
    </row>
    <row r="293" spans="1:45" s="64" customFormat="1" ht="36" customHeight="1" x14ac:dyDescent="0.9">
      <c r="A293" s="64">
        <v>1</v>
      </c>
      <c r="B293" s="92">
        <f>SUBTOTAL(103,$A$16:A293)</f>
        <v>266</v>
      </c>
      <c r="C293" s="91" t="s">
        <v>705</v>
      </c>
      <c r="D293" s="126">
        <v>1959</v>
      </c>
      <c r="E293" s="126"/>
      <c r="F293" s="145" t="s">
        <v>273</v>
      </c>
      <c r="G293" s="126">
        <v>3</v>
      </c>
      <c r="H293" s="126">
        <v>1</v>
      </c>
      <c r="I293" s="118">
        <v>989.5</v>
      </c>
      <c r="J293" s="118">
        <v>493.8</v>
      </c>
      <c r="K293" s="118">
        <v>332</v>
      </c>
      <c r="L293" s="127">
        <v>35</v>
      </c>
      <c r="M293" s="126" t="s">
        <v>271</v>
      </c>
      <c r="N293" s="126" t="s">
        <v>272</v>
      </c>
      <c r="O293" s="124" t="s">
        <v>274</v>
      </c>
      <c r="P293" s="118">
        <v>617736.44999999995</v>
      </c>
      <c r="Q293" s="118">
        <v>0</v>
      </c>
      <c r="R293" s="118">
        <v>0</v>
      </c>
      <c r="S293" s="118">
        <f>P293-Q293-R293</f>
        <v>617736.44999999995</v>
      </c>
      <c r="T293" s="118">
        <f t="shared" si="36"/>
        <v>624.29151086407273</v>
      </c>
      <c r="U293" s="118">
        <v>673.78</v>
      </c>
      <c r="V293" s="183">
        <f t="shared" si="38"/>
        <v>49.488489135927239</v>
      </c>
      <c r="W293" s="183"/>
      <c r="X293" s="183"/>
      <c r="Y293" s="64" t="e">
        <f t="shared" si="39"/>
        <v>#N/A</v>
      </c>
      <c r="AA293" s="64" t="e">
        <f t="shared" si="40"/>
        <v>#N/A</v>
      </c>
      <c r="AC293" s="64" t="s">
        <v>548</v>
      </c>
      <c r="AD293" s="64">
        <v>925.13</v>
      </c>
      <c r="AH293" s="64" t="e">
        <f t="shared" si="41"/>
        <v>#N/A</v>
      </c>
      <c r="AS293" s="64" t="e">
        <f t="shared" si="42"/>
        <v>#N/A</v>
      </c>
    </row>
    <row r="294" spans="1:45" s="64" customFormat="1" ht="36" customHeight="1" x14ac:dyDescent="0.9">
      <c r="A294" s="64">
        <v>1</v>
      </c>
      <c r="B294" s="92">
        <f>SUBTOTAL(103,$A$16:A294)</f>
        <v>267</v>
      </c>
      <c r="C294" s="91" t="s">
        <v>1239</v>
      </c>
      <c r="D294" s="126">
        <v>1971</v>
      </c>
      <c r="E294" s="126"/>
      <c r="F294" s="145" t="s">
        <v>273</v>
      </c>
      <c r="G294" s="126">
        <v>2</v>
      </c>
      <c r="H294" s="126">
        <v>2</v>
      </c>
      <c r="I294" s="118">
        <v>719</v>
      </c>
      <c r="J294" s="118">
        <v>719</v>
      </c>
      <c r="K294" s="118">
        <v>668.2</v>
      </c>
      <c r="L294" s="127">
        <v>21</v>
      </c>
      <c r="M294" s="126" t="s">
        <v>271</v>
      </c>
      <c r="N294" s="126" t="s">
        <v>275</v>
      </c>
      <c r="O294" s="124" t="s">
        <v>1366</v>
      </c>
      <c r="P294" s="118">
        <v>556946.59000000008</v>
      </c>
      <c r="Q294" s="118">
        <v>0</v>
      </c>
      <c r="R294" s="118">
        <v>0</v>
      </c>
      <c r="S294" s="118">
        <f>P294-Q294-R294</f>
        <v>556946.59000000008</v>
      </c>
      <c r="T294" s="118">
        <f t="shared" si="36"/>
        <v>774.61278164116845</v>
      </c>
      <c r="U294" s="118">
        <v>774.61278164116845</v>
      </c>
      <c r="V294" s="183">
        <f t="shared" si="38"/>
        <v>0</v>
      </c>
      <c r="W294" s="183"/>
      <c r="X294" s="183"/>
      <c r="Y294" s="64" t="e">
        <f t="shared" si="39"/>
        <v>#N/A</v>
      </c>
      <c r="AA294" s="64" t="e">
        <f t="shared" si="40"/>
        <v>#N/A</v>
      </c>
      <c r="AC294" s="64" t="s">
        <v>549</v>
      </c>
      <c r="AD294" s="64">
        <v>760</v>
      </c>
      <c r="AH294" s="64" t="e">
        <f t="shared" si="41"/>
        <v>#N/A</v>
      </c>
      <c r="AS294" s="64" t="e">
        <f t="shared" si="42"/>
        <v>#N/A</v>
      </c>
    </row>
    <row r="295" spans="1:45" s="64" customFormat="1" ht="36" customHeight="1" x14ac:dyDescent="0.9">
      <c r="A295" s="64">
        <v>1</v>
      </c>
      <c r="B295" s="92">
        <f>SUBTOTAL(103,$A$16:A295)</f>
        <v>268</v>
      </c>
      <c r="C295" s="91" t="s">
        <v>1240</v>
      </c>
      <c r="D295" s="126" t="s">
        <v>376</v>
      </c>
      <c r="E295" s="126"/>
      <c r="F295" s="145" t="s">
        <v>273</v>
      </c>
      <c r="G295" s="126">
        <v>2</v>
      </c>
      <c r="H295" s="126">
        <v>1</v>
      </c>
      <c r="I295" s="118">
        <v>298.5</v>
      </c>
      <c r="J295" s="118">
        <v>276.89999999999998</v>
      </c>
      <c r="K295" s="118">
        <v>238.8</v>
      </c>
      <c r="L295" s="127">
        <v>11</v>
      </c>
      <c r="M295" s="126" t="s">
        <v>271</v>
      </c>
      <c r="N295" s="126" t="s">
        <v>275</v>
      </c>
      <c r="O295" s="124" t="s">
        <v>1026</v>
      </c>
      <c r="P295" s="118">
        <v>211453.36</v>
      </c>
      <c r="Q295" s="118">
        <v>0</v>
      </c>
      <c r="R295" s="118">
        <v>0</v>
      </c>
      <c r="S295" s="118">
        <f>P295-Q295-R295</f>
        <v>211453.36</v>
      </c>
      <c r="T295" s="118">
        <f t="shared" si="36"/>
        <v>708.38646566164152</v>
      </c>
      <c r="U295" s="118">
        <v>849.44999999999993</v>
      </c>
      <c r="V295" s="183">
        <f t="shared" si="38"/>
        <v>141.06353433835841</v>
      </c>
      <c r="W295" s="183"/>
      <c r="X295" s="183"/>
      <c r="Y295" s="64" t="e">
        <f t="shared" si="39"/>
        <v>#N/A</v>
      </c>
      <c r="AA295" s="64" t="e">
        <f t="shared" si="40"/>
        <v>#N/A</v>
      </c>
      <c r="AC295" s="64" t="s">
        <v>550</v>
      </c>
      <c r="AD295" s="64">
        <v>524</v>
      </c>
      <c r="AH295" s="64" t="e">
        <f t="shared" si="41"/>
        <v>#N/A</v>
      </c>
      <c r="AS295" s="64" t="e">
        <f t="shared" si="42"/>
        <v>#N/A</v>
      </c>
    </row>
    <row r="296" spans="1:45" s="64" customFormat="1" ht="36" customHeight="1" x14ac:dyDescent="0.9">
      <c r="B296" s="91" t="s">
        <v>847</v>
      </c>
      <c r="C296" s="91"/>
      <c r="D296" s="126" t="s">
        <v>916</v>
      </c>
      <c r="E296" s="126" t="s">
        <v>916</v>
      </c>
      <c r="F296" s="126" t="s">
        <v>916</v>
      </c>
      <c r="G296" s="126" t="s">
        <v>916</v>
      </c>
      <c r="H296" s="126" t="s">
        <v>916</v>
      </c>
      <c r="I296" s="117">
        <f>I297</f>
        <v>3504.3</v>
      </c>
      <c r="J296" s="117">
        <f>J297</f>
        <v>3356</v>
      </c>
      <c r="K296" s="117">
        <f>K297</f>
        <v>2316.9</v>
      </c>
      <c r="L296" s="127">
        <f>L297</f>
        <v>153</v>
      </c>
      <c r="M296" s="126" t="s">
        <v>916</v>
      </c>
      <c r="N296" s="126" t="s">
        <v>916</v>
      </c>
      <c r="O296" s="124" t="s">
        <v>916</v>
      </c>
      <c r="P296" s="118">
        <v>3674943.51</v>
      </c>
      <c r="Q296" s="118">
        <f>Q297</f>
        <v>0</v>
      </c>
      <c r="R296" s="118">
        <f>R297</f>
        <v>0</v>
      </c>
      <c r="S296" s="118">
        <f>S297</f>
        <v>3674943.51</v>
      </c>
      <c r="T296" s="118">
        <f t="shared" si="36"/>
        <v>1048.6954627172329</v>
      </c>
      <c r="U296" s="118">
        <f>T296</f>
        <v>1048.6954627172329</v>
      </c>
      <c r="V296" s="183">
        <f t="shared" si="38"/>
        <v>0</v>
      </c>
      <c r="W296" s="183"/>
      <c r="X296" s="183"/>
      <c r="Y296" s="64" t="e">
        <f t="shared" si="39"/>
        <v>#N/A</v>
      </c>
      <c r="AA296" s="64" t="e">
        <f t="shared" si="40"/>
        <v>#N/A</v>
      </c>
      <c r="AC296" s="64" t="s">
        <v>551</v>
      </c>
      <c r="AD296" s="64">
        <v>1037</v>
      </c>
      <c r="AH296" s="64" t="e">
        <f t="shared" si="41"/>
        <v>#N/A</v>
      </c>
      <c r="AS296" s="64" t="e">
        <f t="shared" si="42"/>
        <v>#N/A</v>
      </c>
    </row>
    <row r="297" spans="1:45" s="64" customFormat="1" ht="36" customHeight="1" x14ac:dyDescent="0.9">
      <c r="A297" s="64">
        <v>1</v>
      </c>
      <c r="B297" s="92">
        <f>SUBTOTAL(103,$A$16:A297)</f>
        <v>269</v>
      </c>
      <c r="C297" s="91" t="s">
        <v>703</v>
      </c>
      <c r="D297" s="126">
        <v>1984</v>
      </c>
      <c r="E297" s="126"/>
      <c r="F297" s="145" t="s">
        <v>344</v>
      </c>
      <c r="G297" s="126">
        <v>5</v>
      </c>
      <c r="H297" s="126">
        <v>4</v>
      </c>
      <c r="I297" s="118">
        <v>3504.3</v>
      </c>
      <c r="J297" s="118">
        <v>3356</v>
      </c>
      <c r="K297" s="118">
        <v>2316.9</v>
      </c>
      <c r="L297" s="127">
        <v>153</v>
      </c>
      <c r="M297" s="126" t="s">
        <v>271</v>
      </c>
      <c r="N297" s="126" t="s">
        <v>275</v>
      </c>
      <c r="O297" s="124" t="s">
        <v>1026</v>
      </c>
      <c r="P297" s="118">
        <v>3674943.51</v>
      </c>
      <c r="Q297" s="118">
        <v>0</v>
      </c>
      <c r="R297" s="118">
        <v>0</v>
      </c>
      <c r="S297" s="118">
        <f>P297-Q297-R297</f>
        <v>3674943.51</v>
      </c>
      <c r="T297" s="118">
        <f t="shared" si="36"/>
        <v>1048.6954627172329</v>
      </c>
      <c r="U297" s="118">
        <f>T297</f>
        <v>1048.6954627172329</v>
      </c>
      <c r="V297" s="183">
        <f t="shared" si="38"/>
        <v>0</v>
      </c>
      <c r="W297" s="183"/>
      <c r="X297" s="183"/>
      <c r="Y297" s="64">
        <f t="shared" si="39"/>
        <v>1045.9097166338497</v>
      </c>
      <c r="AA297" s="64">
        <f t="shared" si="40"/>
        <v>701.9</v>
      </c>
      <c r="AC297" s="64" t="s">
        <v>552</v>
      </c>
      <c r="AD297" s="64">
        <v>650</v>
      </c>
      <c r="AH297" s="64" t="e">
        <f t="shared" si="41"/>
        <v>#N/A</v>
      </c>
      <c r="AS297" s="64" t="e">
        <f t="shared" si="42"/>
        <v>#N/A</v>
      </c>
    </row>
    <row r="298" spans="1:45" s="64" customFormat="1" ht="36" customHeight="1" x14ac:dyDescent="0.9">
      <c r="B298" s="91" t="s">
        <v>848</v>
      </c>
      <c r="C298" s="91"/>
      <c r="D298" s="126" t="s">
        <v>916</v>
      </c>
      <c r="E298" s="126" t="s">
        <v>916</v>
      </c>
      <c r="F298" s="126" t="s">
        <v>916</v>
      </c>
      <c r="G298" s="126" t="s">
        <v>916</v>
      </c>
      <c r="H298" s="126" t="s">
        <v>916</v>
      </c>
      <c r="I298" s="117">
        <f>SUM(I299:I315)</f>
        <v>39570.9</v>
      </c>
      <c r="J298" s="117">
        <f>SUM(J299:J315)</f>
        <v>31164.500000000004</v>
      </c>
      <c r="K298" s="117">
        <f>SUM(K299:K315)</f>
        <v>28209.999999999996</v>
      </c>
      <c r="L298" s="127">
        <f>SUM(L299:L315)</f>
        <v>1157</v>
      </c>
      <c r="M298" s="126" t="s">
        <v>916</v>
      </c>
      <c r="N298" s="126" t="s">
        <v>916</v>
      </c>
      <c r="O298" s="124" t="s">
        <v>916</v>
      </c>
      <c r="P298" s="117">
        <v>50473058.759999998</v>
      </c>
      <c r="Q298" s="117">
        <f>SUM(Q299:Q315)</f>
        <v>0</v>
      </c>
      <c r="R298" s="117">
        <f>SUM(R299:R315)</f>
        <v>0</v>
      </c>
      <c r="S298" s="117">
        <f>SUM(S299:S315)</f>
        <v>50473058.759999998</v>
      </c>
      <c r="T298" s="118">
        <f t="shared" si="36"/>
        <v>1275.509497130467</v>
      </c>
      <c r="U298" s="118">
        <f>MAX(U299:U315)</f>
        <v>16364.662285559725</v>
      </c>
      <c r="V298" s="183">
        <f t="shared" si="38"/>
        <v>15089.152788429259</v>
      </c>
      <c r="W298" s="183"/>
      <c r="X298" s="183"/>
      <c r="Y298" s="64" t="e">
        <f t="shared" si="39"/>
        <v>#N/A</v>
      </c>
      <c r="AA298" s="64" t="e">
        <f t="shared" si="40"/>
        <v>#N/A</v>
      </c>
      <c r="AC298" s="64" t="s">
        <v>553</v>
      </c>
      <c r="AD298" s="64">
        <v>1068</v>
      </c>
      <c r="AH298" s="64" t="e">
        <f t="shared" si="41"/>
        <v>#N/A</v>
      </c>
      <c r="AS298" s="64" t="e">
        <f t="shared" si="42"/>
        <v>#N/A</v>
      </c>
    </row>
    <row r="299" spans="1:45" s="64" customFormat="1" ht="36" customHeight="1" x14ac:dyDescent="0.9">
      <c r="A299" s="64">
        <v>1</v>
      </c>
      <c r="B299" s="92">
        <f>SUBTOTAL(103,$A$16:A299)</f>
        <v>270</v>
      </c>
      <c r="C299" s="91" t="s">
        <v>707</v>
      </c>
      <c r="D299" s="126">
        <v>1981</v>
      </c>
      <c r="E299" s="126"/>
      <c r="F299" s="145" t="s">
        <v>273</v>
      </c>
      <c r="G299" s="126">
        <v>2</v>
      </c>
      <c r="H299" s="126">
        <v>3</v>
      </c>
      <c r="I299" s="118">
        <v>975</v>
      </c>
      <c r="J299" s="118">
        <v>901.5</v>
      </c>
      <c r="K299" s="118">
        <v>901.5</v>
      </c>
      <c r="L299" s="127">
        <v>42</v>
      </c>
      <c r="M299" s="126" t="s">
        <v>271</v>
      </c>
      <c r="N299" s="126" t="s">
        <v>272</v>
      </c>
      <c r="O299" s="124" t="s">
        <v>274</v>
      </c>
      <c r="P299" s="118">
        <v>3681369</v>
      </c>
      <c r="Q299" s="118">
        <v>0</v>
      </c>
      <c r="R299" s="118">
        <v>0</v>
      </c>
      <c r="S299" s="118">
        <f t="shared" ref="S299:S313" si="43">P299-Q299-R299</f>
        <v>3681369</v>
      </c>
      <c r="T299" s="118">
        <f t="shared" si="36"/>
        <v>3775.7630769230768</v>
      </c>
      <c r="U299" s="118">
        <f>Y299</f>
        <v>3775.7630769230768</v>
      </c>
      <c r="V299" s="183">
        <f t="shared" si="38"/>
        <v>0</v>
      </c>
      <c r="W299" s="183"/>
      <c r="X299" s="183"/>
      <c r="Y299" s="64">
        <f t="shared" si="39"/>
        <v>3775.7630769230768</v>
      </c>
      <c r="AA299" s="64">
        <f t="shared" si="40"/>
        <v>705</v>
      </c>
      <c r="AC299" s="64" t="s">
        <v>554</v>
      </c>
      <c r="AD299" s="64">
        <v>1062</v>
      </c>
      <c r="AH299" s="64" t="e">
        <f t="shared" si="41"/>
        <v>#N/A</v>
      </c>
      <c r="AS299" s="64" t="e">
        <f t="shared" si="42"/>
        <v>#N/A</v>
      </c>
    </row>
    <row r="300" spans="1:45" s="64" customFormat="1" ht="36" customHeight="1" x14ac:dyDescent="0.9">
      <c r="A300" s="64">
        <v>1</v>
      </c>
      <c r="B300" s="92">
        <f>SUBTOTAL(103,$A$16:A300)</f>
        <v>271</v>
      </c>
      <c r="C300" s="91" t="s">
        <v>691</v>
      </c>
      <c r="D300" s="126">
        <v>1976</v>
      </c>
      <c r="E300" s="126"/>
      <c r="F300" s="145" t="s">
        <v>273</v>
      </c>
      <c r="G300" s="126">
        <v>5</v>
      </c>
      <c r="H300" s="126">
        <v>2</v>
      </c>
      <c r="I300" s="118">
        <v>3568.3</v>
      </c>
      <c r="J300" s="118">
        <v>1111.4000000000001</v>
      </c>
      <c r="K300" s="118">
        <v>1111.4000000000001</v>
      </c>
      <c r="L300" s="127">
        <v>23</v>
      </c>
      <c r="M300" s="126" t="s">
        <v>271</v>
      </c>
      <c r="N300" s="126" t="s">
        <v>275</v>
      </c>
      <c r="O300" s="124" t="s">
        <v>740</v>
      </c>
      <c r="P300" s="118">
        <v>3924195.01</v>
      </c>
      <c r="Q300" s="118">
        <v>0</v>
      </c>
      <c r="R300" s="118">
        <v>0</v>
      </c>
      <c r="S300" s="118">
        <f t="shared" si="43"/>
        <v>3924195.01</v>
      </c>
      <c r="T300" s="118">
        <f t="shared" si="36"/>
        <v>1099.7379732645798</v>
      </c>
      <c r="U300" s="118">
        <f>Y300</f>
        <v>1163.3918112266344</v>
      </c>
      <c r="V300" s="183">
        <f t="shared" si="38"/>
        <v>63.653837962054695</v>
      </c>
      <c r="W300" s="183"/>
      <c r="X300" s="183"/>
      <c r="Y300" s="64">
        <f t="shared" si="39"/>
        <v>1163.3918112266344</v>
      </c>
      <c r="AA300" s="64">
        <f t="shared" si="40"/>
        <v>795</v>
      </c>
      <c r="AC300" s="64" t="s">
        <v>555</v>
      </c>
      <c r="AD300" s="64">
        <v>980</v>
      </c>
      <c r="AH300" s="64" t="e">
        <f t="shared" si="41"/>
        <v>#N/A</v>
      </c>
      <c r="AS300" s="64" t="e">
        <f t="shared" si="42"/>
        <v>#N/A</v>
      </c>
    </row>
    <row r="301" spans="1:45" s="64" customFormat="1" ht="36" customHeight="1" x14ac:dyDescent="0.9">
      <c r="A301" s="64">
        <v>1</v>
      </c>
      <c r="B301" s="92">
        <f>SUBTOTAL(103,$A$16:A301)</f>
        <v>272</v>
      </c>
      <c r="C301" s="91" t="s">
        <v>686</v>
      </c>
      <c r="D301" s="126">
        <v>1985</v>
      </c>
      <c r="E301" s="126"/>
      <c r="F301" s="145" t="s">
        <v>273</v>
      </c>
      <c r="G301" s="126">
        <v>9</v>
      </c>
      <c r="H301" s="126">
        <v>1</v>
      </c>
      <c r="I301" s="118">
        <v>4900.3</v>
      </c>
      <c r="J301" s="118">
        <v>4900</v>
      </c>
      <c r="K301" s="118">
        <v>4450.3</v>
      </c>
      <c r="L301" s="127">
        <v>123</v>
      </c>
      <c r="M301" s="126" t="s">
        <v>271</v>
      </c>
      <c r="N301" s="126" t="s">
        <v>275</v>
      </c>
      <c r="O301" s="124" t="s">
        <v>740</v>
      </c>
      <c r="P301" s="118">
        <v>1863988.34</v>
      </c>
      <c r="Q301" s="118">
        <v>0</v>
      </c>
      <c r="R301" s="118">
        <v>0</v>
      </c>
      <c r="S301" s="118">
        <f t="shared" si="43"/>
        <v>1863988.34</v>
      </c>
      <c r="T301" s="118">
        <f t="shared" si="36"/>
        <v>380.3824949492888</v>
      </c>
      <c r="U301" s="118">
        <f>Y301</f>
        <v>959.04740526090234</v>
      </c>
      <c r="V301" s="183">
        <f t="shared" si="38"/>
        <v>578.66491031161354</v>
      </c>
      <c r="W301" s="183"/>
      <c r="X301" s="183"/>
      <c r="Y301" s="64">
        <f t="shared" si="39"/>
        <v>959.04740526090234</v>
      </c>
      <c r="AA301" s="64">
        <f t="shared" si="40"/>
        <v>900</v>
      </c>
      <c r="AC301" s="64" t="s">
        <v>822</v>
      </c>
      <c r="AD301" s="64">
        <v>635</v>
      </c>
      <c r="AH301" s="64" t="e">
        <f t="shared" si="41"/>
        <v>#N/A</v>
      </c>
      <c r="AS301" s="64" t="e">
        <f t="shared" si="42"/>
        <v>#N/A</v>
      </c>
    </row>
    <row r="302" spans="1:45" s="64" customFormat="1" ht="36" customHeight="1" x14ac:dyDescent="0.9">
      <c r="A302" s="64">
        <v>1</v>
      </c>
      <c r="B302" s="92">
        <f>SUBTOTAL(103,$A$16:A302)</f>
        <v>273</v>
      </c>
      <c r="C302" s="91" t="s">
        <v>687</v>
      </c>
      <c r="D302" s="126">
        <v>1992</v>
      </c>
      <c r="E302" s="126"/>
      <c r="F302" s="145" t="s">
        <v>273</v>
      </c>
      <c r="G302" s="126">
        <v>9</v>
      </c>
      <c r="H302" s="126">
        <v>1</v>
      </c>
      <c r="I302" s="118">
        <v>4865.3</v>
      </c>
      <c r="J302" s="118">
        <v>4865.3</v>
      </c>
      <c r="K302" s="118">
        <v>4560</v>
      </c>
      <c r="L302" s="127">
        <v>111</v>
      </c>
      <c r="M302" s="126" t="s">
        <v>271</v>
      </c>
      <c r="N302" s="126" t="s">
        <v>275</v>
      </c>
      <c r="O302" s="124" t="s">
        <v>740</v>
      </c>
      <c r="P302" s="118">
        <v>1863988.34</v>
      </c>
      <c r="Q302" s="118">
        <v>0</v>
      </c>
      <c r="R302" s="118">
        <v>0</v>
      </c>
      <c r="S302" s="118">
        <f t="shared" si="43"/>
        <v>1863988.34</v>
      </c>
      <c r="T302" s="118">
        <f t="shared" si="36"/>
        <v>383.11889092142314</v>
      </c>
      <c r="U302" s="118">
        <f>Y302</f>
        <v>965.94660144287093</v>
      </c>
      <c r="V302" s="183">
        <f t="shared" si="38"/>
        <v>582.82771052144778</v>
      </c>
      <c r="W302" s="183"/>
      <c r="X302" s="183"/>
      <c r="Y302" s="64">
        <f t="shared" si="39"/>
        <v>965.94660144287093</v>
      </c>
      <c r="AA302" s="64">
        <f t="shared" si="40"/>
        <v>900</v>
      </c>
      <c r="AC302" s="64" t="s">
        <v>556</v>
      </c>
      <c r="AD302" s="64">
        <v>960</v>
      </c>
      <c r="AH302" s="64" t="e">
        <f t="shared" si="41"/>
        <v>#N/A</v>
      </c>
      <c r="AS302" s="64" t="e">
        <f t="shared" si="42"/>
        <v>#N/A</v>
      </c>
    </row>
    <row r="303" spans="1:45" s="64" customFormat="1" ht="36" customHeight="1" x14ac:dyDescent="0.9">
      <c r="A303" s="64">
        <v>1</v>
      </c>
      <c r="B303" s="92">
        <f>SUBTOTAL(103,$A$16:A303)</f>
        <v>274</v>
      </c>
      <c r="C303" s="91" t="s">
        <v>688</v>
      </c>
      <c r="D303" s="126">
        <v>1982</v>
      </c>
      <c r="E303" s="126"/>
      <c r="F303" s="145" t="s">
        <v>273</v>
      </c>
      <c r="G303" s="126">
        <v>9</v>
      </c>
      <c r="H303" s="126">
        <v>1</v>
      </c>
      <c r="I303" s="118">
        <v>4912.2</v>
      </c>
      <c r="J303" s="118">
        <v>2437.9</v>
      </c>
      <c r="K303" s="118">
        <v>2009.8</v>
      </c>
      <c r="L303" s="127">
        <v>134</v>
      </c>
      <c r="M303" s="126" t="s">
        <v>271</v>
      </c>
      <c r="N303" s="126" t="s">
        <v>275</v>
      </c>
      <c r="O303" s="124" t="s">
        <v>740</v>
      </c>
      <c r="P303" s="118">
        <v>1863988.32</v>
      </c>
      <c r="Q303" s="118">
        <v>0</v>
      </c>
      <c r="R303" s="118">
        <v>0</v>
      </c>
      <c r="S303" s="118">
        <f t="shared" si="43"/>
        <v>1863988.32</v>
      </c>
      <c r="T303" s="118">
        <f t="shared" si="36"/>
        <v>379.46099914498598</v>
      </c>
      <c r="U303" s="118">
        <f>Y303</f>
        <v>956.72407475265663</v>
      </c>
      <c r="V303" s="183">
        <f t="shared" si="38"/>
        <v>577.26307560767066</v>
      </c>
      <c r="W303" s="183"/>
      <c r="X303" s="183"/>
      <c r="Y303" s="64">
        <f t="shared" si="39"/>
        <v>956.72407475265663</v>
      </c>
      <c r="AA303" s="64">
        <f t="shared" si="40"/>
        <v>900</v>
      </c>
      <c r="AC303" s="64" t="s">
        <v>557</v>
      </c>
      <c r="AD303" s="64">
        <v>775</v>
      </c>
      <c r="AH303" s="64" t="e">
        <f t="shared" si="41"/>
        <v>#N/A</v>
      </c>
      <c r="AS303" s="64" t="e">
        <f t="shared" si="42"/>
        <v>#N/A</v>
      </c>
    </row>
    <row r="304" spans="1:45" s="64" customFormat="1" ht="36" customHeight="1" x14ac:dyDescent="0.9">
      <c r="A304" s="64">
        <v>1</v>
      </c>
      <c r="B304" s="92">
        <f>SUBTOTAL(103,$A$16:A304)</f>
        <v>275</v>
      </c>
      <c r="C304" s="91" t="s">
        <v>681</v>
      </c>
      <c r="D304" s="126">
        <v>1994</v>
      </c>
      <c r="E304" s="126"/>
      <c r="F304" s="145" t="s">
        <v>273</v>
      </c>
      <c r="G304" s="126">
        <v>9</v>
      </c>
      <c r="H304" s="126">
        <v>1</v>
      </c>
      <c r="I304" s="118">
        <v>4455.3</v>
      </c>
      <c r="J304" s="118">
        <v>3825.3</v>
      </c>
      <c r="K304" s="118">
        <v>3825.3</v>
      </c>
      <c r="L304" s="127">
        <v>122</v>
      </c>
      <c r="M304" s="126" t="s">
        <v>271</v>
      </c>
      <c r="N304" s="126" t="s">
        <v>349</v>
      </c>
      <c r="O304" s="124" t="s">
        <v>741</v>
      </c>
      <c r="P304" s="118">
        <v>4445100</v>
      </c>
      <c r="Q304" s="118">
        <v>0</v>
      </c>
      <c r="R304" s="118">
        <v>0</v>
      </c>
      <c r="S304" s="118">
        <f t="shared" si="43"/>
        <v>4445100</v>
      </c>
      <c r="T304" s="118">
        <f t="shared" si="36"/>
        <v>997.71059187933463</v>
      </c>
      <c r="U304" s="118">
        <f>T304</f>
        <v>997.71059187933463</v>
      </c>
      <c r="V304" s="183">
        <f t="shared" si="38"/>
        <v>0</v>
      </c>
      <c r="W304" s="183"/>
      <c r="X304" s="183"/>
      <c r="Y304" s="64" t="e">
        <f t="shared" si="39"/>
        <v>#N/A</v>
      </c>
      <c r="AA304" s="64" t="e">
        <f t="shared" si="40"/>
        <v>#N/A</v>
      </c>
      <c r="AC304" s="64" t="s">
        <v>1431</v>
      </c>
      <c r="AD304" s="64">
        <v>1207.0999999999999</v>
      </c>
      <c r="AH304" s="64" t="e">
        <f t="shared" si="41"/>
        <v>#N/A</v>
      </c>
      <c r="AR304" s="64">
        <f>AS304*2207413/I304</f>
        <v>990.9155387964895</v>
      </c>
      <c r="AS304" s="64">
        <f t="shared" si="42"/>
        <v>2</v>
      </c>
    </row>
    <row r="305" spans="1:45" s="64" customFormat="1" ht="36" customHeight="1" x14ac:dyDescent="0.9">
      <c r="A305" s="64">
        <v>1</v>
      </c>
      <c r="B305" s="92">
        <f>SUBTOTAL(103,$A$16:A305)</f>
        <v>276</v>
      </c>
      <c r="C305" s="91" t="s">
        <v>694</v>
      </c>
      <c r="D305" s="126">
        <v>1917</v>
      </c>
      <c r="E305" s="126"/>
      <c r="F305" s="145" t="s">
        <v>273</v>
      </c>
      <c r="G305" s="126">
        <v>2</v>
      </c>
      <c r="H305" s="126">
        <v>1</v>
      </c>
      <c r="I305" s="118">
        <v>722.2</v>
      </c>
      <c r="J305" s="118">
        <v>298.5</v>
      </c>
      <c r="K305" s="118">
        <v>298.5</v>
      </c>
      <c r="L305" s="127">
        <v>8</v>
      </c>
      <c r="M305" s="126" t="s">
        <v>271</v>
      </c>
      <c r="N305" s="126" t="s">
        <v>272</v>
      </c>
      <c r="O305" s="124" t="s">
        <v>274</v>
      </c>
      <c r="P305" s="118">
        <v>2717424.7199999997</v>
      </c>
      <c r="Q305" s="118">
        <v>0</v>
      </c>
      <c r="R305" s="118">
        <v>0</v>
      </c>
      <c r="S305" s="118">
        <f t="shared" si="43"/>
        <v>2717424.7199999997</v>
      </c>
      <c r="T305" s="118">
        <f t="shared" si="36"/>
        <v>3762.70384934921</v>
      </c>
      <c r="U305" s="118">
        <f>Y305</f>
        <v>3762.7038493492109</v>
      </c>
      <c r="V305" s="183">
        <f t="shared" si="38"/>
        <v>0</v>
      </c>
      <c r="W305" s="183"/>
      <c r="X305" s="183"/>
      <c r="Y305" s="64">
        <f t="shared" si="39"/>
        <v>3762.7038493492109</v>
      </c>
      <c r="AA305" s="64">
        <f t="shared" si="40"/>
        <v>520.4</v>
      </c>
      <c r="AC305" s="64" t="s">
        <v>823</v>
      </c>
      <c r="AD305" s="64">
        <v>700</v>
      </c>
      <c r="AH305" s="64" t="e">
        <f t="shared" si="41"/>
        <v>#N/A</v>
      </c>
      <c r="AS305" s="64" t="e">
        <f t="shared" si="42"/>
        <v>#N/A</v>
      </c>
    </row>
    <row r="306" spans="1:45" s="64" customFormat="1" ht="36" customHeight="1" x14ac:dyDescent="0.9">
      <c r="A306" s="64">
        <v>1</v>
      </c>
      <c r="B306" s="92">
        <f>SUBTOTAL(103,$A$16:A306)</f>
        <v>277</v>
      </c>
      <c r="C306" s="91" t="s">
        <v>682</v>
      </c>
      <c r="D306" s="126">
        <v>1963</v>
      </c>
      <c r="E306" s="126"/>
      <c r="F306" s="145" t="s">
        <v>273</v>
      </c>
      <c r="G306" s="126">
        <v>3</v>
      </c>
      <c r="H306" s="126">
        <v>3</v>
      </c>
      <c r="I306" s="118">
        <v>1703.8</v>
      </c>
      <c r="J306" s="118">
        <v>1339.8</v>
      </c>
      <c r="K306" s="118">
        <v>1300</v>
      </c>
      <c r="L306" s="127">
        <v>56</v>
      </c>
      <c r="M306" s="126" t="s">
        <v>271</v>
      </c>
      <c r="N306" s="126" t="s">
        <v>275</v>
      </c>
      <c r="O306" s="124" t="s">
        <v>742</v>
      </c>
      <c r="P306" s="118">
        <v>3885966.56</v>
      </c>
      <c r="Q306" s="118">
        <v>0</v>
      </c>
      <c r="R306" s="118">
        <v>0</v>
      </c>
      <c r="S306" s="118">
        <f t="shared" si="43"/>
        <v>3885966.56</v>
      </c>
      <c r="T306" s="118">
        <f t="shared" si="36"/>
        <v>2280.7645028759243</v>
      </c>
      <c r="U306" s="118">
        <f>Y306</f>
        <v>2325.5674609695975</v>
      </c>
      <c r="V306" s="183">
        <f t="shared" si="38"/>
        <v>44.802958093673169</v>
      </c>
      <c r="W306" s="183"/>
      <c r="X306" s="183"/>
      <c r="Y306" s="64">
        <f t="shared" si="39"/>
        <v>2325.5674609695975</v>
      </c>
      <c r="AA306" s="64">
        <f t="shared" si="40"/>
        <v>758.8</v>
      </c>
      <c r="AC306" s="64" t="s">
        <v>559</v>
      </c>
      <c r="AD306" s="64">
        <v>210</v>
      </c>
      <c r="AH306" s="64" t="e">
        <f t="shared" si="41"/>
        <v>#N/A</v>
      </c>
      <c r="AS306" s="64" t="e">
        <f t="shared" si="42"/>
        <v>#N/A</v>
      </c>
    </row>
    <row r="307" spans="1:45" s="64" customFormat="1" ht="36" customHeight="1" x14ac:dyDescent="0.9">
      <c r="A307" s="64">
        <v>1</v>
      </c>
      <c r="B307" s="92">
        <f>SUBTOTAL(103,$A$16:A307)</f>
        <v>278</v>
      </c>
      <c r="C307" s="91" t="s">
        <v>678</v>
      </c>
      <c r="D307" s="126">
        <v>1927</v>
      </c>
      <c r="E307" s="126"/>
      <c r="F307" s="145" t="s">
        <v>273</v>
      </c>
      <c r="G307" s="126">
        <v>2</v>
      </c>
      <c r="H307" s="126">
        <v>2</v>
      </c>
      <c r="I307" s="118">
        <v>525.4</v>
      </c>
      <c r="J307" s="118">
        <v>408.7</v>
      </c>
      <c r="K307" s="118">
        <v>282</v>
      </c>
      <c r="L307" s="127">
        <v>32</v>
      </c>
      <c r="M307" s="126" t="s">
        <v>271</v>
      </c>
      <c r="N307" s="126" t="s">
        <v>272</v>
      </c>
      <c r="O307" s="124" t="s">
        <v>274</v>
      </c>
      <c r="P307" s="118">
        <v>2213600.19</v>
      </c>
      <c r="Q307" s="118">
        <v>0</v>
      </c>
      <c r="R307" s="118">
        <v>0</v>
      </c>
      <c r="S307" s="118">
        <f t="shared" si="43"/>
        <v>2213600.19</v>
      </c>
      <c r="T307" s="118">
        <f t="shared" si="36"/>
        <v>4213.1712790255042</v>
      </c>
      <c r="U307" s="118">
        <f>Y307+AG307</f>
        <v>16364.662285559725</v>
      </c>
      <c r="V307" s="183">
        <f t="shared" si="38"/>
        <v>12151.491006534221</v>
      </c>
      <c r="W307" s="183"/>
      <c r="X307" s="183"/>
      <c r="Y307" s="64">
        <f t="shared" si="39"/>
        <v>5466.2923486867148</v>
      </c>
      <c r="AA307" s="64">
        <f t="shared" si="40"/>
        <v>550</v>
      </c>
      <c r="AC307" s="64" t="s">
        <v>561</v>
      </c>
      <c r="AD307" s="64">
        <v>560</v>
      </c>
      <c r="AG307" s="64">
        <f>AH307*6191.24/J307</f>
        <v>10898.36993687301</v>
      </c>
      <c r="AH307" s="64">
        <f t="shared" si="41"/>
        <v>719.43</v>
      </c>
      <c r="AS307" s="64" t="e">
        <f t="shared" si="42"/>
        <v>#N/A</v>
      </c>
    </row>
    <row r="308" spans="1:45" s="64" customFormat="1" ht="36" customHeight="1" x14ac:dyDescent="0.9">
      <c r="A308" s="64">
        <v>1</v>
      </c>
      <c r="B308" s="92">
        <f>SUBTOTAL(103,$A$16:A308)</f>
        <v>279</v>
      </c>
      <c r="C308" s="91" t="s">
        <v>1229</v>
      </c>
      <c r="D308" s="126">
        <v>1927</v>
      </c>
      <c r="E308" s="126"/>
      <c r="F308" s="145" t="s">
        <v>273</v>
      </c>
      <c r="G308" s="126">
        <v>2</v>
      </c>
      <c r="H308" s="126">
        <v>2</v>
      </c>
      <c r="I308" s="118">
        <v>462</v>
      </c>
      <c r="J308" s="118">
        <v>443.2</v>
      </c>
      <c r="K308" s="118">
        <v>442.1</v>
      </c>
      <c r="L308" s="127">
        <v>37</v>
      </c>
      <c r="M308" s="126" t="s">
        <v>271</v>
      </c>
      <c r="N308" s="126" t="s">
        <v>275</v>
      </c>
      <c r="O308" s="124" t="s">
        <v>1338</v>
      </c>
      <c r="P308" s="118">
        <v>1981043.05</v>
      </c>
      <c r="Q308" s="118">
        <v>0</v>
      </c>
      <c r="R308" s="118">
        <v>0</v>
      </c>
      <c r="S308" s="118">
        <f t="shared" si="43"/>
        <v>1981043.05</v>
      </c>
      <c r="T308" s="118">
        <f t="shared" si="36"/>
        <v>4287.9719696969696</v>
      </c>
      <c r="U308" s="118">
        <f>Y308</f>
        <v>4609.1992207792209</v>
      </c>
      <c r="V308" s="183">
        <f t="shared" si="38"/>
        <v>321.22725108225131</v>
      </c>
      <c r="W308" s="183"/>
      <c r="X308" s="183"/>
      <c r="Y308" s="64">
        <f t="shared" si="39"/>
        <v>4609.1992207792209</v>
      </c>
      <c r="AA308" s="64">
        <f t="shared" si="40"/>
        <v>407.8</v>
      </c>
      <c r="AC308" s="64" t="s">
        <v>825</v>
      </c>
      <c r="AD308" s="64">
        <v>1391</v>
      </c>
      <c r="AH308" s="64" t="e">
        <f t="shared" si="41"/>
        <v>#N/A</v>
      </c>
      <c r="AS308" s="64" t="e">
        <f t="shared" si="42"/>
        <v>#N/A</v>
      </c>
    </row>
    <row r="309" spans="1:45" s="64" customFormat="1" ht="36" customHeight="1" x14ac:dyDescent="0.9">
      <c r="A309" s="64">
        <v>1</v>
      </c>
      <c r="B309" s="92">
        <f>SUBTOTAL(103,$A$16:A309)</f>
        <v>280</v>
      </c>
      <c r="C309" s="91" t="s">
        <v>1230</v>
      </c>
      <c r="D309" s="126">
        <v>1965</v>
      </c>
      <c r="E309" s="126"/>
      <c r="F309" s="145" t="s">
        <v>273</v>
      </c>
      <c r="G309" s="126">
        <v>2</v>
      </c>
      <c r="H309" s="126">
        <v>2</v>
      </c>
      <c r="I309" s="118">
        <v>1070</v>
      </c>
      <c r="J309" s="118">
        <v>916.2</v>
      </c>
      <c r="K309" s="118">
        <v>310.5</v>
      </c>
      <c r="L309" s="127">
        <v>13</v>
      </c>
      <c r="M309" s="126" t="s">
        <v>271</v>
      </c>
      <c r="N309" s="126" t="s">
        <v>272</v>
      </c>
      <c r="O309" s="124" t="s">
        <v>274</v>
      </c>
      <c r="P309" s="118">
        <v>4741640.8400000008</v>
      </c>
      <c r="Q309" s="118">
        <v>0</v>
      </c>
      <c r="R309" s="118">
        <v>0</v>
      </c>
      <c r="S309" s="118">
        <f t="shared" si="43"/>
        <v>4741640.8400000008</v>
      </c>
      <c r="T309" s="118">
        <f t="shared" si="36"/>
        <v>4431.4400373831786</v>
      </c>
      <c r="U309" s="118">
        <f>Y309</f>
        <v>4653.2582242990657</v>
      </c>
      <c r="V309" s="183">
        <f t="shared" si="38"/>
        <v>221.81818691588705</v>
      </c>
      <c r="W309" s="183"/>
      <c r="X309" s="183"/>
      <c r="Y309" s="64">
        <f t="shared" si="39"/>
        <v>4653.2582242990657</v>
      </c>
      <c r="AA309" s="64">
        <f t="shared" si="40"/>
        <v>953.5</v>
      </c>
      <c r="AC309" s="64" t="s">
        <v>562</v>
      </c>
      <c r="AD309" s="64">
        <v>822</v>
      </c>
      <c r="AH309" s="64" t="e">
        <f t="shared" si="41"/>
        <v>#N/A</v>
      </c>
      <c r="AS309" s="64" t="e">
        <f t="shared" si="42"/>
        <v>#N/A</v>
      </c>
    </row>
    <row r="310" spans="1:45" s="64" customFormat="1" ht="36" customHeight="1" x14ac:dyDescent="0.9">
      <c r="A310" s="64">
        <v>1</v>
      </c>
      <c r="B310" s="92">
        <f>SUBTOTAL(103,$A$16:A310)</f>
        <v>281</v>
      </c>
      <c r="C310" s="91" t="s">
        <v>1235</v>
      </c>
      <c r="D310" s="126" t="s">
        <v>337</v>
      </c>
      <c r="E310" s="126">
        <v>2016</v>
      </c>
      <c r="F310" s="145" t="s">
        <v>273</v>
      </c>
      <c r="G310" s="126">
        <v>9</v>
      </c>
      <c r="H310" s="126">
        <v>4</v>
      </c>
      <c r="I310" s="118">
        <v>8964.1</v>
      </c>
      <c r="J310" s="118">
        <v>7909.1</v>
      </c>
      <c r="K310" s="118">
        <v>7405.7</v>
      </c>
      <c r="L310" s="127">
        <v>329</v>
      </c>
      <c r="M310" s="126" t="s">
        <v>271</v>
      </c>
      <c r="N310" s="126" t="s">
        <v>275</v>
      </c>
      <c r="O310" s="124" t="s">
        <v>1365</v>
      </c>
      <c r="P310" s="118">
        <v>7625051.5</v>
      </c>
      <c r="Q310" s="118">
        <v>0</v>
      </c>
      <c r="R310" s="118">
        <v>0</v>
      </c>
      <c r="S310" s="118">
        <f t="shared" si="43"/>
        <v>7625051.5</v>
      </c>
      <c r="T310" s="118">
        <f t="shared" si="36"/>
        <v>850.62097700828861</v>
      </c>
      <c r="U310" s="118">
        <f>AR310</f>
        <v>985.00150600729569</v>
      </c>
      <c r="V310" s="183">
        <f t="shared" si="38"/>
        <v>134.38052899900708</v>
      </c>
      <c r="W310" s="183"/>
      <c r="X310" s="183"/>
      <c r="Y310" s="64" t="e">
        <f t="shared" si="39"/>
        <v>#N/A</v>
      </c>
      <c r="AA310" s="64" t="e">
        <f t="shared" si="40"/>
        <v>#N/A</v>
      </c>
      <c r="AC310" s="64" t="s">
        <v>563</v>
      </c>
      <c r="AD310" s="64">
        <v>897.3</v>
      </c>
      <c r="AH310" s="64" t="e">
        <f t="shared" si="41"/>
        <v>#N/A</v>
      </c>
      <c r="AR310" s="64">
        <f>AS310*2207413/I310</f>
        <v>985.00150600729569</v>
      </c>
      <c r="AS310" s="64">
        <f t="shared" si="42"/>
        <v>4</v>
      </c>
    </row>
    <row r="311" spans="1:45" s="64" customFormat="1" ht="36" customHeight="1" x14ac:dyDescent="0.9">
      <c r="A311" s="64">
        <v>1</v>
      </c>
      <c r="B311" s="92">
        <f>SUBTOTAL(103,$A$16:A311)</f>
        <v>282</v>
      </c>
      <c r="C311" s="91" t="s">
        <v>1236</v>
      </c>
      <c r="D311" s="126" t="s">
        <v>386</v>
      </c>
      <c r="E311" s="126"/>
      <c r="F311" s="145" t="s">
        <v>273</v>
      </c>
      <c r="G311" s="126">
        <v>2</v>
      </c>
      <c r="H311" s="126">
        <v>2</v>
      </c>
      <c r="I311" s="118">
        <v>263</v>
      </c>
      <c r="J311" s="118">
        <v>259.2</v>
      </c>
      <c r="K311" s="118">
        <v>255.1</v>
      </c>
      <c r="L311" s="127">
        <v>21</v>
      </c>
      <c r="M311" s="126" t="s">
        <v>271</v>
      </c>
      <c r="N311" s="126" t="s">
        <v>272</v>
      </c>
      <c r="O311" s="124" t="s">
        <v>274</v>
      </c>
      <c r="P311" s="118">
        <v>964103.66999999993</v>
      </c>
      <c r="Q311" s="118">
        <v>0</v>
      </c>
      <c r="R311" s="118">
        <v>0</v>
      </c>
      <c r="S311" s="118">
        <f t="shared" si="43"/>
        <v>964103.66999999993</v>
      </c>
      <c r="T311" s="118">
        <f t="shared" si="36"/>
        <v>3665.7934220532316</v>
      </c>
      <c r="U311" s="118">
        <f>AG311</f>
        <v>9916.016101851852</v>
      </c>
      <c r="V311" s="183">
        <f t="shared" si="38"/>
        <v>6250.2226797986204</v>
      </c>
      <c r="W311" s="183"/>
      <c r="X311" s="183"/>
      <c r="Y311" s="64" t="e">
        <f t="shared" si="39"/>
        <v>#N/A</v>
      </c>
      <c r="AA311" s="64" t="e">
        <f t="shared" si="40"/>
        <v>#N/A</v>
      </c>
      <c r="AC311" s="64" t="s">
        <v>1681</v>
      </c>
      <c r="AD311" s="64">
        <v>485</v>
      </c>
      <c r="AG311" s="64">
        <f>AH311*6191.24/J311</f>
        <v>9916.016101851852</v>
      </c>
      <c r="AH311" s="64">
        <f t="shared" si="41"/>
        <v>415.14</v>
      </c>
      <c r="AS311" s="64" t="e">
        <f t="shared" si="42"/>
        <v>#N/A</v>
      </c>
    </row>
    <row r="312" spans="1:45" s="64" customFormat="1" ht="36" customHeight="1" x14ac:dyDescent="0.9">
      <c r="A312" s="64">
        <v>1</v>
      </c>
      <c r="B312" s="92">
        <f>SUBTOTAL(103,$A$16:A312)</f>
        <v>283</v>
      </c>
      <c r="C312" s="91" t="s">
        <v>1237</v>
      </c>
      <c r="D312" s="126" t="s">
        <v>363</v>
      </c>
      <c r="E312" s="126"/>
      <c r="F312" s="145" t="s">
        <v>273</v>
      </c>
      <c r="G312" s="126">
        <v>2</v>
      </c>
      <c r="H312" s="126">
        <v>1</v>
      </c>
      <c r="I312" s="118">
        <v>301</v>
      </c>
      <c r="J312" s="118">
        <v>282.39999999999998</v>
      </c>
      <c r="K312" s="118">
        <v>282.39999999999998</v>
      </c>
      <c r="L312" s="127">
        <v>22</v>
      </c>
      <c r="M312" s="126" t="s">
        <v>271</v>
      </c>
      <c r="N312" s="126" t="s">
        <v>275</v>
      </c>
      <c r="O312" s="124" t="s">
        <v>742</v>
      </c>
      <c r="P312" s="118">
        <v>1832686.35</v>
      </c>
      <c r="Q312" s="118">
        <v>0</v>
      </c>
      <c r="R312" s="118">
        <v>0</v>
      </c>
      <c r="S312" s="118">
        <f t="shared" si="43"/>
        <v>1832686.35</v>
      </c>
      <c r="T312" s="118">
        <f t="shared" si="36"/>
        <v>6088.6589700996683</v>
      </c>
      <c r="U312" s="118">
        <f>AG312</f>
        <v>8564.9140609065162</v>
      </c>
      <c r="V312" s="183">
        <f t="shared" si="38"/>
        <v>2476.2550908068479</v>
      </c>
      <c r="W312" s="183"/>
      <c r="X312" s="183"/>
      <c r="Y312" s="64" t="e">
        <f t="shared" si="39"/>
        <v>#N/A</v>
      </c>
      <c r="AA312" s="64" t="e">
        <f t="shared" si="40"/>
        <v>#N/A</v>
      </c>
      <c r="AC312" s="64" t="s">
        <v>565</v>
      </c>
      <c r="AD312" s="64">
        <v>606</v>
      </c>
      <c r="AG312" s="64">
        <f>AH312*6191.24/J312</f>
        <v>8564.9140609065162</v>
      </c>
      <c r="AH312" s="64">
        <f t="shared" si="41"/>
        <v>390.67</v>
      </c>
      <c r="AS312" s="64" t="e">
        <f t="shared" si="42"/>
        <v>#N/A</v>
      </c>
    </row>
    <row r="313" spans="1:45" s="64" customFormat="1" ht="36" customHeight="1" x14ac:dyDescent="0.9">
      <c r="A313" s="64">
        <v>1</v>
      </c>
      <c r="B313" s="92">
        <f>SUBTOTAL(103,$A$16:A313)</f>
        <v>284</v>
      </c>
      <c r="C313" s="91" t="s">
        <v>1238</v>
      </c>
      <c r="D313" s="126">
        <v>1957</v>
      </c>
      <c r="E313" s="126"/>
      <c r="F313" s="145" t="s">
        <v>273</v>
      </c>
      <c r="G313" s="126">
        <v>2</v>
      </c>
      <c r="H313" s="126">
        <v>3</v>
      </c>
      <c r="I313" s="118">
        <v>988</v>
      </c>
      <c r="J313" s="118">
        <v>627.1</v>
      </c>
      <c r="K313" s="118">
        <v>582.1</v>
      </c>
      <c r="L313" s="127">
        <v>55</v>
      </c>
      <c r="M313" s="126" t="s">
        <v>271</v>
      </c>
      <c r="N313" s="126" t="s">
        <v>275</v>
      </c>
      <c r="O313" s="124" t="s">
        <v>1100</v>
      </c>
      <c r="P313" s="118">
        <v>3647789.2499999995</v>
      </c>
      <c r="Q313" s="118">
        <v>0</v>
      </c>
      <c r="R313" s="118">
        <v>0</v>
      </c>
      <c r="S313" s="118">
        <f t="shared" si="43"/>
        <v>3647789.2499999995</v>
      </c>
      <c r="T313" s="118">
        <f t="shared" si="36"/>
        <v>3692.0943825910927</v>
      </c>
      <c r="U313" s="118">
        <f>Y313</f>
        <v>3905.356736842105</v>
      </c>
      <c r="V313" s="183">
        <f t="shared" si="38"/>
        <v>213.26235425101231</v>
      </c>
      <c r="W313" s="183"/>
      <c r="X313" s="183"/>
      <c r="Y313" s="64">
        <f t="shared" si="39"/>
        <v>3905.356736842105</v>
      </c>
      <c r="AA313" s="64">
        <f t="shared" si="40"/>
        <v>738.92</v>
      </c>
      <c r="AC313" s="64" t="s">
        <v>567</v>
      </c>
      <c r="AD313" s="64">
        <v>1160</v>
      </c>
      <c r="AH313" s="64" t="e">
        <f t="shared" si="41"/>
        <v>#N/A</v>
      </c>
      <c r="AS313" s="64" t="e">
        <f t="shared" si="42"/>
        <v>#N/A</v>
      </c>
    </row>
    <row r="314" spans="1:45" s="64" customFormat="1" ht="36" customHeight="1" x14ac:dyDescent="0.9">
      <c r="A314" s="64">
        <v>1</v>
      </c>
      <c r="B314" s="92">
        <f>SUBTOTAL(103,$A$16:A314)</f>
        <v>285</v>
      </c>
      <c r="C314" s="91" t="s">
        <v>1590</v>
      </c>
      <c r="D314" s="126">
        <v>1926</v>
      </c>
      <c r="E314" s="126"/>
      <c r="F314" s="145" t="s">
        <v>273</v>
      </c>
      <c r="G314" s="126">
        <v>2</v>
      </c>
      <c r="H314" s="126">
        <v>2</v>
      </c>
      <c r="I314" s="118">
        <v>561</v>
      </c>
      <c r="J314" s="118">
        <v>469.4</v>
      </c>
      <c r="K314" s="118">
        <v>23.8</v>
      </c>
      <c r="L314" s="127">
        <v>11</v>
      </c>
      <c r="M314" s="126" t="s">
        <v>271</v>
      </c>
      <c r="N314" s="126" t="s">
        <v>272</v>
      </c>
      <c r="O314" s="124" t="s">
        <v>274</v>
      </c>
      <c r="P314" s="118">
        <v>1427279.76</v>
      </c>
      <c r="Q314" s="118">
        <v>0</v>
      </c>
      <c r="R314" s="118">
        <v>0</v>
      </c>
      <c r="S314" s="118">
        <f>P314-R314-Q314</f>
        <v>1427279.76</v>
      </c>
      <c r="T314" s="118">
        <f t="shared" si="36"/>
        <v>2544.1706951871656</v>
      </c>
      <c r="U314" s="118">
        <f>Y314</f>
        <v>2563.429090909091</v>
      </c>
      <c r="V314" s="183">
        <f t="shared" si="38"/>
        <v>19.258395721925353</v>
      </c>
      <c r="W314" s="183"/>
      <c r="X314" s="183"/>
      <c r="Y314" s="64">
        <f t="shared" si="39"/>
        <v>2563.429090909091</v>
      </c>
      <c r="AA314" s="64">
        <f t="shared" si="40"/>
        <v>275.39999999999998</v>
      </c>
      <c r="AC314" s="64" t="s">
        <v>568</v>
      </c>
      <c r="AD314" s="64">
        <v>432.6</v>
      </c>
      <c r="AH314" s="64" t="e">
        <f t="shared" si="41"/>
        <v>#N/A</v>
      </c>
      <c r="AS314" s="64" t="e">
        <f t="shared" si="42"/>
        <v>#N/A</v>
      </c>
    </row>
    <row r="315" spans="1:45" s="64" customFormat="1" ht="36" customHeight="1" x14ac:dyDescent="0.9">
      <c r="A315" s="64">
        <v>1</v>
      </c>
      <c r="B315" s="92">
        <f>SUBTOTAL(103,$A$16:A315)</f>
        <v>286</v>
      </c>
      <c r="C315" s="91" t="s">
        <v>1600</v>
      </c>
      <c r="D315" s="126" t="s">
        <v>1629</v>
      </c>
      <c r="E315" s="126"/>
      <c r="F315" s="145" t="s">
        <v>273</v>
      </c>
      <c r="G315" s="126">
        <v>2</v>
      </c>
      <c r="H315" s="126">
        <v>2</v>
      </c>
      <c r="I315" s="118">
        <v>334</v>
      </c>
      <c r="J315" s="118">
        <v>169.5</v>
      </c>
      <c r="K315" s="118">
        <v>169.5</v>
      </c>
      <c r="L315" s="127">
        <v>18</v>
      </c>
      <c r="M315" s="126" t="s">
        <v>271</v>
      </c>
      <c r="N315" s="126" t="s">
        <v>272</v>
      </c>
      <c r="O315" s="124" t="s">
        <v>274</v>
      </c>
      <c r="P315" s="118">
        <v>1793843.86</v>
      </c>
      <c r="Q315" s="118">
        <v>0</v>
      </c>
      <c r="R315" s="118">
        <v>0</v>
      </c>
      <c r="S315" s="118">
        <f>P315-R315-Q315</f>
        <v>1793843.86</v>
      </c>
      <c r="T315" s="118">
        <f t="shared" si="36"/>
        <v>5370.79</v>
      </c>
      <c r="U315" s="118">
        <f>Y315</f>
        <v>5385.9583832335329</v>
      </c>
      <c r="V315" s="183">
        <f t="shared" si="38"/>
        <v>15.16838323353295</v>
      </c>
      <c r="W315" s="183"/>
      <c r="X315" s="183"/>
      <c r="Y315" s="64">
        <f t="shared" si="39"/>
        <v>5385.9583832335329</v>
      </c>
      <c r="AA315" s="64">
        <f t="shared" si="40"/>
        <v>344.5</v>
      </c>
      <c r="AC315" s="64" t="s">
        <v>569</v>
      </c>
      <c r="AD315" s="64">
        <v>185.8</v>
      </c>
      <c r="AH315" s="64" t="e">
        <f t="shared" si="41"/>
        <v>#N/A</v>
      </c>
      <c r="AS315" s="64" t="e">
        <f t="shared" si="42"/>
        <v>#N/A</v>
      </c>
    </row>
    <row r="316" spans="1:45" s="64" customFormat="1" ht="36" customHeight="1" x14ac:dyDescent="0.9">
      <c r="B316" s="91" t="s">
        <v>849</v>
      </c>
      <c r="C316" s="172"/>
      <c r="D316" s="126" t="s">
        <v>916</v>
      </c>
      <c r="E316" s="126" t="s">
        <v>916</v>
      </c>
      <c r="F316" s="126" t="s">
        <v>916</v>
      </c>
      <c r="G316" s="126" t="s">
        <v>916</v>
      </c>
      <c r="H316" s="126" t="s">
        <v>916</v>
      </c>
      <c r="I316" s="117">
        <f>SUM(I317:I333)</f>
        <v>13587.6</v>
      </c>
      <c r="J316" s="117">
        <f>SUM(J317:J333)</f>
        <v>10418</v>
      </c>
      <c r="K316" s="117">
        <f>SUM(K317:K333)</f>
        <v>8960.3790000000008</v>
      </c>
      <c r="L316" s="127">
        <f>SUM(L317:L333)</f>
        <v>812</v>
      </c>
      <c r="M316" s="126" t="s">
        <v>916</v>
      </c>
      <c r="N316" s="126" t="s">
        <v>916</v>
      </c>
      <c r="O316" s="124" t="s">
        <v>916</v>
      </c>
      <c r="P316" s="117">
        <v>36604324.610000007</v>
      </c>
      <c r="Q316" s="117">
        <f>SUM(Q317:Q333)</f>
        <v>0</v>
      </c>
      <c r="R316" s="117">
        <f>SUM(R317:R333)</f>
        <v>0</v>
      </c>
      <c r="S316" s="117">
        <f>SUM(S317:S333)</f>
        <v>36604324.610000007</v>
      </c>
      <c r="T316" s="118">
        <f t="shared" si="36"/>
        <v>2693.9507057905744</v>
      </c>
      <c r="U316" s="118">
        <f>MAX(U317:U333)</f>
        <v>12960.807892227978</v>
      </c>
      <c r="V316" s="183">
        <f t="shared" si="38"/>
        <v>10266.857186437404</v>
      </c>
      <c r="W316" s="183"/>
      <c r="X316" s="183"/>
      <c r="Y316" s="64" t="e">
        <f t="shared" si="39"/>
        <v>#N/A</v>
      </c>
      <c r="AA316" s="64" t="e">
        <f t="shared" si="40"/>
        <v>#N/A</v>
      </c>
      <c r="AC316" s="64" t="s">
        <v>570</v>
      </c>
      <c r="AD316" s="64">
        <v>642</v>
      </c>
      <c r="AH316" s="64" t="e">
        <f t="shared" si="41"/>
        <v>#N/A</v>
      </c>
      <c r="AS316" s="64" t="e">
        <f t="shared" si="42"/>
        <v>#N/A</v>
      </c>
    </row>
    <row r="317" spans="1:45" s="64" customFormat="1" ht="36" customHeight="1" x14ac:dyDescent="0.9">
      <c r="A317" s="64">
        <v>1</v>
      </c>
      <c r="B317" s="92">
        <f>SUBTOTAL(103,$A$16:A317)</f>
        <v>287</v>
      </c>
      <c r="C317" s="91" t="s">
        <v>236</v>
      </c>
      <c r="D317" s="126">
        <v>1970</v>
      </c>
      <c r="E317" s="126"/>
      <c r="F317" s="145" t="s">
        <v>273</v>
      </c>
      <c r="G317" s="126">
        <v>2</v>
      </c>
      <c r="H317" s="126">
        <v>1</v>
      </c>
      <c r="I317" s="118">
        <v>404.7</v>
      </c>
      <c r="J317" s="118">
        <v>318.7</v>
      </c>
      <c r="K317" s="118">
        <v>318.7</v>
      </c>
      <c r="L317" s="127">
        <v>25</v>
      </c>
      <c r="M317" s="126" t="s">
        <v>271</v>
      </c>
      <c r="N317" s="126" t="s">
        <v>275</v>
      </c>
      <c r="O317" s="124" t="s">
        <v>341</v>
      </c>
      <c r="P317" s="118">
        <v>1572162.5600000001</v>
      </c>
      <c r="Q317" s="118">
        <v>0</v>
      </c>
      <c r="R317" s="118">
        <v>0</v>
      </c>
      <c r="S317" s="118">
        <f t="shared" ref="S317:S328" si="44">P317-Q317-R317</f>
        <v>1572162.5600000001</v>
      </c>
      <c r="T317" s="118">
        <f t="shared" ref="T317:T380" si="45">P317/I317</f>
        <v>3884.7604645416359</v>
      </c>
      <c r="U317" s="118">
        <f>Y317</f>
        <v>4112.1513713862123</v>
      </c>
      <c r="V317" s="183">
        <f t="shared" si="38"/>
        <v>227.39090684457642</v>
      </c>
      <c r="W317" s="183"/>
      <c r="X317" s="183"/>
      <c r="Y317" s="64">
        <f t="shared" si="39"/>
        <v>4112.1513713862123</v>
      </c>
      <c r="AA317" s="64">
        <f t="shared" si="40"/>
        <v>318.7</v>
      </c>
      <c r="AC317" s="64" t="s">
        <v>824</v>
      </c>
      <c r="AD317" s="64">
        <v>300</v>
      </c>
      <c r="AH317" s="64" t="e">
        <f t="shared" si="41"/>
        <v>#N/A</v>
      </c>
      <c r="AS317" s="64" t="e">
        <f t="shared" si="42"/>
        <v>#N/A</v>
      </c>
    </row>
    <row r="318" spans="1:45" s="64" customFormat="1" ht="36" customHeight="1" x14ac:dyDescent="0.9">
      <c r="A318" s="64">
        <v>1</v>
      </c>
      <c r="B318" s="92">
        <f>SUBTOTAL(103,$A$16:A318)</f>
        <v>288</v>
      </c>
      <c r="C318" s="91" t="s">
        <v>238</v>
      </c>
      <c r="D318" s="126">
        <v>1964</v>
      </c>
      <c r="E318" s="126"/>
      <c r="F318" s="145" t="s">
        <v>273</v>
      </c>
      <c r="G318" s="126">
        <v>2</v>
      </c>
      <c r="H318" s="126">
        <v>2</v>
      </c>
      <c r="I318" s="118">
        <v>604.29999999999995</v>
      </c>
      <c r="J318" s="118">
        <v>596.20000000000005</v>
      </c>
      <c r="K318" s="118">
        <v>596.20000000000005</v>
      </c>
      <c r="L318" s="127">
        <v>25</v>
      </c>
      <c r="M318" s="126" t="s">
        <v>271</v>
      </c>
      <c r="N318" s="126" t="s">
        <v>275</v>
      </c>
      <c r="O318" s="124" t="s">
        <v>342</v>
      </c>
      <c r="P318" s="118">
        <v>2581000</v>
      </c>
      <c r="Q318" s="118">
        <v>0</v>
      </c>
      <c r="R318" s="118">
        <v>0</v>
      </c>
      <c r="S318" s="118">
        <f t="shared" si="44"/>
        <v>2581000</v>
      </c>
      <c r="T318" s="118">
        <f t="shared" si="45"/>
        <v>4271.0574218103593</v>
      </c>
      <c r="U318" s="118">
        <f>AG318</f>
        <v>4670.9489298892986</v>
      </c>
      <c r="V318" s="183">
        <f t="shared" si="38"/>
        <v>399.8915080789393</v>
      </c>
      <c r="W318" s="183"/>
      <c r="X318" s="183"/>
      <c r="Y318" s="64" t="e">
        <f t="shared" si="39"/>
        <v>#N/A</v>
      </c>
      <c r="AA318" s="64" t="e">
        <f t="shared" si="40"/>
        <v>#N/A</v>
      </c>
      <c r="AC318" s="64" t="s">
        <v>1666</v>
      </c>
      <c r="AD318" s="64">
        <v>2300</v>
      </c>
      <c r="AG318" s="64">
        <f>AH318*6191.24/J318</f>
        <v>4670.9489298892986</v>
      </c>
      <c r="AH318" s="64">
        <f t="shared" si="41"/>
        <v>449.8</v>
      </c>
      <c r="AS318" s="64" t="e">
        <f t="shared" si="42"/>
        <v>#N/A</v>
      </c>
    </row>
    <row r="319" spans="1:45" s="64" customFormat="1" ht="36" customHeight="1" x14ac:dyDescent="0.9">
      <c r="A319" s="64">
        <v>1</v>
      </c>
      <c r="B319" s="92">
        <f>SUBTOTAL(103,$A$16:A319)</f>
        <v>289</v>
      </c>
      <c r="C319" s="91" t="s">
        <v>241</v>
      </c>
      <c r="D319" s="126">
        <v>1961</v>
      </c>
      <c r="E319" s="126"/>
      <c r="F319" s="145" t="s">
        <v>344</v>
      </c>
      <c r="G319" s="126">
        <v>2</v>
      </c>
      <c r="H319" s="126">
        <v>2</v>
      </c>
      <c r="I319" s="118">
        <v>605.1</v>
      </c>
      <c r="J319" s="118">
        <v>560.20000000000005</v>
      </c>
      <c r="K319" s="118">
        <v>521</v>
      </c>
      <c r="L319" s="127">
        <v>28</v>
      </c>
      <c r="M319" s="126" t="s">
        <v>271</v>
      </c>
      <c r="N319" s="126" t="s">
        <v>275</v>
      </c>
      <c r="O319" s="124" t="s">
        <v>341</v>
      </c>
      <c r="P319" s="118">
        <v>2325723.11</v>
      </c>
      <c r="Q319" s="118">
        <v>0</v>
      </c>
      <c r="R319" s="118">
        <v>0</v>
      </c>
      <c r="S319" s="118">
        <f t="shared" si="44"/>
        <v>2325723.11</v>
      </c>
      <c r="T319" s="118">
        <f t="shared" si="45"/>
        <v>3843.5351346884809</v>
      </c>
      <c r="U319" s="118">
        <f>Y319</f>
        <v>4006.7455627169065</v>
      </c>
      <c r="V319" s="183">
        <f t="shared" si="38"/>
        <v>163.21042802842567</v>
      </c>
      <c r="W319" s="183"/>
      <c r="X319" s="183"/>
      <c r="Y319" s="64">
        <f t="shared" si="39"/>
        <v>4006.7455627169065</v>
      </c>
      <c r="AA319" s="64">
        <f t="shared" si="40"/>
        <v>464.3</v>
      </c>
      <c r="AC319" s="64" t="s">
        <v>571</v>
      </c>
      <c r="AD319" s="64">
        <v>1200</v>
      </c>
      <c r="AH319" s="64" t="e">
        <f t="shared" si="41"/>
        <v>#N/A</v>
      </c>
      <c r="AS319" s="64" t="e">
        <f t="shared" si="42"/>
        <v>#N/A</v>
      </c>
    </row>
    <row r="320" spans="1:45" s="64" customFormat="1" ht="36" customHeight="1" x14ac:dyDescent="0.9">
      <c r="A320" s="64">
        <v>1</v>
      </c>
      <c r="B320" s="92">
        <f>SUBTOTAL(103,$A$16:A320)</f>
        <v>290</v>
      </c>
      <c r="C320" s="91" t="s">
        <v>242</v>
      </c>
      <c r="D320" s="126">
        <v>1917</v>
      </c>
      <c r="E320" s="126"/>
      <c r="F320" s="145" t="s">
        <v>273</v>
      </c>
      <c r="G320" s="126">
        <v>2</v>
      </c>
      <c r="H320" s="126">
        <v>2</v>
      </c>
      <c r="I320" s="118">
        <v>336.7</v>
      </c>
      <c r="J320" s="118">
        <v>304.3</v>
      </c>
      <c r="K320" s="118">
        <v>304.3</v>
      </c>
      <c r="L320" s="127">
        <v>13</v>
      </c>
      <c r="M320" s="126" t="s">
        <v>271</v>
      </c>
      <c r="N320" s="126" t="s">
        <v>275</v>
      </c>
      <c r="O320" s="124" t="s">
        <v>341</v>
      </c>
      <c r="P320" s="118">
        <v>1327100</v>
      </c>
      <c r="Q320" s="118">
        <v>0</v>
      </c>
      <c r="R320" s="118">
        <v>0</v>
      </c>
      <c r="S320" s="118">
        <f t="shared" si="44"/>
        <v>1327100</v>
      </c>
      <c r="T320" s="118">
        <f t="shared" si="45"/>
        <v>3941.4909414909416</v>
      </c>
      <c r="U320" s="118">
        <f>Y320</f>
        <v>4202.8743688743689</v>
      </c>
      <c r="V320" s="183">
        <f t="shared" si="38"/>
        <v>261.38342738342726</v>
      </c>
      <c r="W320" s="183"/>
      <c r="X320" s="183"/>
      <c r="Y320" s="64">
        <f t="shared" si="39"/>
        <v>4202.8743688743689</v>
      </c>
      <c r="AA320" s="64">
        <f t="shared" si="40"/>
        <v>271</v>
      </c>
      <c r="AC320" s="64" t="s">
        <v>572</v>
      </c>
      <c r="AD320" s="64">
        <v>483</v>
      </c>
      <c r="AH320" s="64" t="e">
        <f t="shared" si="41"/>
        <v>#N/A</v>
      </c>
      <c r="AS320" s="64" t="e">
        <f t="shared" si="42"/>
        <v>#N/A</v>
      </c>
    </row>
    <row r="321" spans="1:45" s="64" customFormat="1" ht="36" customHeight="1" x14ac:dyDescent="0.9">
      <c r="A321" s="64">
        <v>1</v>
      </c>
      <c r="B321" s="92">
        <f>SUBTOTAL(103,$A$16:A321)</f>
        <v>291</v>
      </c>
      <c r="C321" s="91" t="s">
        <v>237</v>
      </c>
      <c r="D321" s="97">
        <v>1970</v>
      </c>
      <c r="E321" s="126"/>
      <c r="F321" s="145" t="s">
        <v>273</v>
      </c>
      <c r="G321" s="126">
        <v>2</v>
      </c>
      <c r="H321" s="126">
        <v>1</v>
      </c>
      <c r="I321" s="118">
        <v>352</v>
      </c>
      <c r="J321" s="118">
        <v>321</v>
      </c>
      <c r="K321" s="118">
        <v>321</v>
      </c>
      <c r="L321" s="127">
        <v>20</v>
      </c>
      <c r="M321" s="126" t="s">
        <v>271</v>
      </c>
      <c r="N321" s="126" t="s">
        <v>275</v>
      </c>
      <c r="O321" s="124" t="s">
        <v>343</v>
      </c>
      <c r="P321" s="118">
        <v>1010564.5</v>
      </c>
      <c r="Q321" s="118">
        <v>0</v>
      </c>
      <c r="R321" s="118">
        <v>0</v>
      </c>
      <c r="S321" s="118">
        <f t="shared" si="44"/>
        <v>1010564.5</v>
      </c>
      <c r="T321" s="118">
        <f t="shared" si="45"/>
        <v>2870.921875</v>
      </c>
      <c r="U321" s="118">
        <f>Y321</f>
        <v>3103.113988636364</v>
      </c>
      <c r="V321" s="183">
        <f t="shared" si="38"/>
        <v>232.19211363636396</v>
      </c>
      <c r="W321" s="183"/>
      <c r="X321" s="183"/>
      <c r="Y321" s="64">
        <f t="shared" si="39"/>
        <v>3103.113988636364</v>
      </c>
      <c r="AA321" s="64">
        <f t="shared" si="40"/>
        <v>209.18</v>
      </c>
      <c r="AC321" s="64" t="s">
        <v>573</v>
      </c>
      <c r="AD321" s="64">
        <v>506.2</v>
      </c>
      <c r="AH321" s="64" t="e">
        <f t="shared" si="41"/>
        <v>#N/A</v>
      </c>
      <c r="AS321" s="64" t="e">
        <f t="shared" si="42"/>
        <v>#N/A</v>
      </c>
    </row>
    <row r="322" spans="1:45" s="64" customFormat="1" ht="36" customHeight="1" x14ac:dyDescent="0.9">
      <c r="A322" s="64">
        <v>1</v>
      </c>
      <c r="B322" s="92">
        <f>SUBTOTAL(103,$A$16:A322)</f>
        <v>292</v>
      </c>
      <c r="C322" s="91" t="s">
        <v>244</v>
      </c>
      <c r="D322" s="126">
        <v>1972</v>
      </c>
      <c r="E322" s="126"/>
      <c r="F322" s="145" t="s">
        <v>273</v>
      </c>
      <c r="G322" s="126">
        <v>2</v>
      </c>
      <c r="H322" s="126">
        <v>3</v>
      </c>
      <c r="I322" s="118">
        <v>899</v>
      </c>
      <c r="J322" s="118">
        <v>845</v>
      </c>
      <c r="K322" s="118">
        <v>845</v>
      </c>
      <c r="L322" s="127">
        <v>42</v>
      </c>
      <c r="M322" s="126" t="s">
        <v>271</v>
      </c>
      <c r="N322" s="126" t="s">
        <v>275</v>
      </c>
      <c r="O322" s="124" t="s">
        <v>341</v>
      </c>
      <c r="P322" s="118">
        <v>2700940</v>
      </c>
      <c r="Q322" s="118">
        <v>0</v>
      </c>
      <c r="R322" s="118">
        <v>0</v>
      </c>
      <c r="S322" s="118">
        <f t="shared" si="44"/>
        <v>2700940</v>
      </c>
      <c r="T322" s="118">
        <f t="shared" si="45"/>
        <v>3004.3826473859845</v>
      </c>
      <c r="U322" s="118">
        <f>Y322</f>
        <v>3133.08</v>
      </c>
      <c r="V322" s="183">
        <f t="shared" si="38"/>
        <v>128.69735261401547</v>
      </c>
      <c r="W322" s="183"/>
      <c r="X322" s="183"/>
      <c r="Y322" s="64">
        <f t="shared" si="39"/>
        <v>3133.08</v>
      </c>
      <c r="AA322" s="64">
        <f t="shared" si="40"/>
        <v>539.4</v>
      </c>
      <c r="AC322" s="64" t="s">
        <v>574</v>
      </c>
      <c r="AD322" s="64">
        <v>960</v>
      </c>
      <c r="AH322" s="64" t="e">
        <f t="shared" si="41"/>
        <v>#N/A</v>
      </c>
      <c r="AS322" s="64" t="e">
        <f t="shared" si="42"/>
        <v>#N/A</v>
      </c>
    </row>
    <row r="323" spans="1:45" s="64" customFormat="1" ht="36" customHeight="1" x14ac:dyDescent="0.9">
      <c r="A323" s="64">
        <v>1</v>
      </c>
      <c r="B323" s="92">
        <f>SUBTOTAL(103,$A$16:A323)</f>
        <v>293</v>
      </c>
      <c r="C323" s="91" t="s">
        <v>1241</v>
      </c>
      <c r="D323" s="126">
        <v>1959</v>
      </c>
      <c r="E323" s="126"/>
      <c r="F323" s="145" t="s">
        <v>344</v>
      </c>
      <c r="G323" s="126">
        <v>2</v>
      </c>
      <c r="H323" s="126">
        <v>2</v>
      </c>
      <c r="I323" s="118">
        <v>654.4</v>
      </c>
      <c r="J323" s="118">
        <v>551.4</v>
      </c>
      <c r="K323" s="118">
        <v>551.4</v>
      </c>
      <c r="L323" s="127">
        <v>22</v>
      </c>
      <c r="M323" s="126" t="s">
        <v>271</v>
      </c>
      <c r="N323" s="126" t="s">
        <v>275</v>
      </c>
      <c r="O323" s="124" t="s">
        <v>342</v>
      </c>
      <c r="P323" s="118">
        <v>2857556.7199999997</v>
      </c>
      <c r="Q323" s="118">
        <v>0</v>
      </c>
      <c r="R323" s="118">
        <v>0</v>
      </c>
      <c r="S323" s="118">
        <f t="shared" si="44"/>
        <v>2857556.7199999997</v>
      </c>
      <c r="T323" s="118">
        <f t="shared" si="45"/>
        <v>4366.6820293398532</v>
      </c>
      <c r="U323" s="118">
        <f>AG323</f>
        <v>7607.1184258251724</v>
      </c>
      <c r="V323" s="183">
        <f t="shared" si="38"/>
        <v>3240.4363964853192</v>
      </c>
      <c r="W323" s="183"/>
      <c r="X323" s="183"/>
      <c r="Y323" s="64" t="e">
        <f t="shared" si="39"/>
        <v>#N/A</v>
      </c>
      <c r="AA323" s="64" t="e">
        <f t="shared" si="40"/>
        <v>#N/A</v>
      </c>
      <c r="AC323" s="64" t="s">
        <v>575</v>
      </c>
      <c r="AD323" s="64">
        <v>651</v>
      </c>
      <c r="AG323" s="64">
        <f>AH323*6191.24/J323</f>
        <v>7607.1184258251724</v>
      </c>
      <c r="AH323" s="64">
        <f t="shared" si="41"/>
        <v>677.5</v>
      </c>
      <c r="AS323" s="64" t="e">
        <f t="shared" si="42"/>
        <v>#N/A</v>
      </c>
    </row>
    <row r="324" spans="1:45" s="64" customFormat="1" ht="36" customHeight="1" x14ac:dyDescent="0.9">
      <c r="A324" s="64">
        <v>1</v>
      </c>
      <c r="B324" s="92">
        <f>SUBTOTAL(103,$A$16:A324)</f>
        <v>294</v>
      </c>
      <c r="C324" s="91" t="s">
        <v>1242</v>
      </c>
      <c r="D324" s="126">
        <v>1977</v>
      </c>
      <c r="E324" s="126"/>
      <c r="F324" s="145" t="s">
        <v>273</v>
      </c>
      <c r="G324" s="126">
        <v>5</v>
      </c>
      <c r="H324" s="126">
        <v>1</v>
      </c>
      <c r="I324" s="118">
        <v>3819</v>
      </c>
      <c r="J324" s="118">
        <v>1968.3</v>
      </c>
      <c r="K324" s="118">
        <v>764.2</v>
      </c>
      <c r="L324" s="127">
        <v>379</v>
      </c>
      <c r="M324" s="126" t="s">
        <v>271</v>
      </c>
      <c r="N324" s="126" t="s">
        <v>275</v>
      </c>
      <c r="O324" s="124" t="s">
        <v>1342</v>
      </c>
      <c r="P324" s="118">
        <v>3331286.34</v>
      </c>
      <c r="Q324" s="118">
        <v>0</v>
      </c>
      <c r="R324" s="118">
        <v>0</v>
      </c>
      <c r="S324" s="118">
        <f t="shared" si="44"/>
        <v>3331286.34</v>
      </c>
      <c r="T324" s="118">
        <f t="shared" si="45"/>
        <v>872.29283582089545</v>
      </c>
      <c r="U324" s="118">
        <v>944.3599999999999</v>
      </c>
      <c r="V324" s="183">
        <f t="shared" si="38"/>
        <v>72.067164179104452</v>
      </c>
      <c r="W324" s="183"/>
      <c r="X324" s="183"/>
      <c r="Y324" s="64" t="e">
        <f t="shared" si="39"/>
        <v>#N/A</v>
      </c>
      <c r="AA324" s="64" t="e">
        <f t="shared" si="40"/>
        <v>#N/A</v>
      </c>
      <c r="AC324" s="64" t="s">
        <v>576</v>
      </c>
      <c r="AD324" s="64">
        <v>287</v>
      </c>
      <c r="AH324" s="64" t="e">
        <f t="shared" si="41"/>
        <v>#N/A</v>
      </c>
      <c r="AS324" s="64" t="e">
        <f t="shared" si="42"/>
        <v>#N/A</v>
      </c>
    </row>
    <row r="325" spans="1:45" s="64" customFormat="1" ht="36" customHeight="1" x14ac:dyDescent="0.9">
      <c r="A325" s="64">
        <v>1</v>
      </c>
      <c r="B325" s="92">
        <f>SUBTOTAL(103,$A$16:A325)</f>
        <v>295</v>
      </c>
      <c r="C325" s="91" t="s">
        <v>1243</v>
      </c>
      <c r="D325" s="126">
        <v>1951</v>
      </c>
      <c r="E325" s="126"/>
      <c r="F325" s="145" t="s">
        <v>344</v>
      </c>
      <c r="G325" s="126">
        <v>2</v>
      </c>
      <c r="H325" s="126">
        <v>2</v>
      </c>
      <c r="I325" s="118">
        <v>859.4</v>
      </c>
      <c r="J325" s="118">
        <v>766.5</v>
      </c>
      <c r="K325" s="118">
        <v>697.3</v>
      </c>
      <c r="L325" s="127">
        <v>43</v>
      </c>
      <c r="M325" s="126" t="s">
        <v>271</v>
      </c>
      <c r="N325" s="126" t="s">
        <v>275</v>
      </c>
      <c r="O325" s="124" t="s">
        <v>341</v>
      </c>
      <c r="P325" s="118">
        <v>3210077.19</v>
      </c>
      <c r="Q325" s="118">
        <v>0</v>
      </c>
      <c r="R325" s="118">
        <v>0</v>
      </c>
      <c r="S325" s="118">
        <f t="shared" si="44"/>
        <v>3210077.19</v>
      </c>
      <c r="T325" s="118">
        <f t="shared" si="45"/>
        <v>3735.2538864323947</v>
      </c>
      <c r="U325" s="118">
        <f>AG325</f>
        <v>6190.5130442270056</v>
      </c>
      <c r="V325" s="183">
        <f t="shared" si="38"/>
        <v>2455.2591577946109</v>
      </c>
      <c r="W325" s="183"/>
      <c r="X325" s="183"/>
      <c r="Y325" s="64" t="e">
        <f t="shared" si="39"/>
        <v>#N/A</v>
      </c>
      <c r="AA325" s="64" t="e">
        <f t="shared" si="40"/>
        <v>#N/A</v>
      </c>
      <c r="AC325" s="64" t="s">
        <v>577</v>
      </c>
      <c r="AD325" s="64">
        <v>722</v>
      </c>
      <c r="AG325" s="64">
        <f>AH325*6191.24/J325</f>
        <v>6190.5130442270056</v>
      </c>
      <c r="AH325" s="64">
        <f t="shared" si="41"/>
        <v>766.41</v>
      </c>
      <c r="AS325" s="64" t="e">
        <f t="shared" si="42"/>
        <v>#N/A</v>
      </c>
    </row>
    <row r="326" spans="1:45" s="64" customFormat="1" ht="36" customHeight="1" x14ac:dyDescent="0.9">
      <c r="A326" s="64">
        <v>1</v>
      </c>
      <c r="B326" s="92">
        <f>SUBTOTAL(103,$A$16:A326)</f>
        <v>296</v>
      </c>
      <c r="C326" s="91" t="s">
        <v>1244</v>
      </c>
      <c r="D326" s="126">
        <v>1955</v>
      </c>
      <c r="E326" s="126"/>
      <c r="F326" s="145" t="s">
        <v>1343</v>
      </c>
      <c r="G326" s="126">
        <v>2</v>
      </c>
      <c r="H326" s="126">
        <v>2</v>
      </c>
      <c r="I326" s="118">
        <v>805.7</v>
      </c>
      <c r="J326" s="118">
        <v>731</v>
      </c>
      <c r="K326" s="118">
        <v>705.2</v>
      </c>
      <c r="L326" s="127">
        <v>37</v>
      </c>
      <c r="M326" s="126" t="s">
        <v>271</v>
      </c>
      <c r="N326" s="126" t="s">
        <v>275</v>
      </c>
      <c r="O326" s="124" t="s">
        <v>341</v>
      </c>
      <c r="P326" s="118">
        <v>1783515.1400000001</v>
      </c>
      <c r="Q326" s="118">
        <v>0</v>
      </c>
      <c r="R326" s="118">
        <v>0</v>
      </c>
      <c r="S326" s="118">
        <f t="shared" si="44"/>
        <v>1783515.1400000001</v>
      </c>
      <c r="T326" s="118">
        <f t="shared" si="45"/>
        <v>2213.6218691820777</v>
      </c>
      <c r="U326" s="118">
        <f>AG326</f>
        <v>6759.2926221614225</v>
      </c>
      <c r="V326" s="183">
        <f t="shared" si="38"/>
        <v>4545.6707529793448</v>
      </c>
      <c r="W326" s="183"/>
      <c r="X326" s="183"/>
      <c r="Y326" s="64" t="e">
        <f t="shared" si="39"/>
        <v>#N/A</v>
      </c>
      <c r="AA326" s="64" t="e">
        <f t="shared" si="40"/>
        <v>#N/A</v>
      </c>
      <c r="AC326" s="64" t="s">
        <v>578</v>
      </c>
      <c r="AD326" s="64">
        <v>1688</v>
      </c>
      <c r="AG326" s="64">
        <f>AH326*6191.24/J326</f>
        <v>6759.2926221614225</v>
      </c>
      <c r="AH326" s="64">
        <f t="shared" si="41"/>
        <v>798.07</v>
      </c>
      <c r="AS326" s="64" t="e">
        <f t="shared" si="42"/>
        <v>#N/A</v>
      </c>
    </row>
    <row r="327" spans="1:45" s="64" customFormat="1" ht="36" customHeight="1" x14ac:dyDescent="0.9">
      <c r="A327" s="64">
        <v>1</v>
      </c>
      <c r="B327" s="92">
        <f>SUBTOTAL(103,$A$16:A327)</f>
        <v>297</v>
      </c>
      <c r="C327" s="91" t="s">
        <v>1245</v>
      </c>
      <c r="D327" s="126">
        <v>1958</v>
      </c>
      <c r="E327" s="126"/>
      <c r="F327" s="145" t="s">
        <v>273</v>
      </c>
      <c r="G327" s="126">
        <v>2</v>
      </c>
      <c r="H327" s="126">
        <v>2</v>
      </c>
      <c r="I327" s="118">
        <v>482.5</v>
      </c>
      <c r="J327" s="118">
        <v>431.7</v>
      </c>
      <c r="K327" s="118">
        <v>367.4</v>
      </c>
      <c r="L327" s="127">
        <v>27</v>
      </c>
      <c r="M327" s="126" t="s">
        <v>271</v>
      </c>
      <c r="N327" s="126" t="s">
        <v>275</v>
      </c>
      <c r="O327" s="124" t="s">
        <v>341</v>
      </c>
      <c r="P327" s="118">
        <v>1811384.8699999999</v>
      </c>
      <c r="Q327" s="118">
        <v>0</v>
      </c>
      <c r="R327" s="118">
        <v>0</v>
      </c>
      <c r="S327" s="118">
        <f t="shared" si="44"/>
        <v>1811384.8699999999</v>
      </c>
      <c r="T327" s="118">
        <f t="shared" si="45"/>
        <v>3754.1655336787562</v>
      </c>
      <c r="U327" s="118">
        <v>12960.807892227978</v>
      </c>
      <c r="V327" s="183">
        <f t="shared" si="38"/>
        <v>9206.642358549223</v>
      </c>
      <c r="W327" s="183"/>
      <c r="X327" s="183"/>
      <c r="Y327" s="64" t="e">
        <f t="shared" si="39"/>
        <v>#N/A</v>
      </c>
      <c r="AA327" s="64" t="e">
        <f t="shared" si="40"/>
        <v>#N/A</v>
      </c>
      <c r="AC327" s="64" t="s">
        <v>579</v>
      </c>
      <c r="AD327" s="64">
        <v>1130</v>
      </c>
      <c r="AH327" s="64" t="e">
        <f t="shared" si="41"/>
        <v>#N/A</v>
      </c>
      <c r="AS327" s="64" t="e">
        <f t="shared" si="42"/>
        <v>#N/A</v>
      </c>
    </row>
    <row r="328" spans="1:45" s="64" customFormat="1" ht="36" customHeight="1" x14ac:dyDescent="0.9">
      <c r="A328" s="64">
        <v>1</v>
      </c>
      <c r="B328" s="92">
        <f>SUBTOTAL(103,$A$16:A328)</f>
        <v>298</v>
      </c>
      <c r="C328" s="91" t="s">
        <v>1246</v>
      </c>
      <c r="D328" s="126">
        <v>1917</v>
      </c>
      <c r="E328" s="126"/>
      <c r="F328" s="145" t="s">
        <v>273</v>
      </c>
      <c r="G328" s="126">
        <v>2</v>
      </c>
      <c r="H328" s="126">
        <v>2</v>
      </c>
      <c r="I328" s="118">
        <v>333.7</v>
      </c>
      <c r="J328" s="118">
        <v>264.8</v>
      </c>
      <c r="K328" s="118">
        <v>264.79899999999998</v>
      </c>
      <c r="L328" s="127">
        <v>10</v>
      </c>
      <c r="M328" s="126" t="s">
        <v>271</v>
      </c>
      <c r="N328" s="126" t="s">
        <v>275</v>
      </c>
      <c r="O328" s="124" t="s">
        <v>341</v>
      </c>
      <c r="P328" s="118">
        <v>1787601.6700000002</v>
      </c>
      <c r="Q328" s="118">
        <v>0</v>
      </c>
      <c r="R328" s="118">
        <v>0</v>
      </c>
      <c r="S328" s="118">
        <f t="shared" si="44"/>
        <v>1787601.6700000002</v>
      </c>
      <c r="T328" s="118">
        <f t="shared" si="45"/>
        <v>5356.9124063530126</v>
      </c>
      <c r="U328" s="118">
        <f>Y328</f>
        <v>5857.1163919688352</v>
      </c>
      <c r="V328" s="183">
        <f t="shared" si="38"/>
        <v>500.2039856158226</v>
      </c>
      <c r="W328" s="183"/>
      <c r="X328" s="183"/>
      <c r="Y328" s="64">
        <f t="shared" si="39"/>
        <v>5857.1163919688352</v>
      </c>
      <c r="AA328" s="64">
        <f t="shared" si="40"/>
        <v>374.3</v>
      </c>
      <c r="AC328" s="64" t="s">
        <v>1407</v>
      </c>
      <c r="AD328" s="64">
        <v>756</v>
      </c>
      <c r="AH328" s="64" t="e">
        <f t="shared" si="41"/>
        <v>#N/A</v>
      </c>
      <c r="AS328" s="64" t="e">
        <f t="shared" si="42"/>
        <v>#N/A</v>
      </c>
    </row>
    <row r="329" spans="1:45" s="64" customFormat="1" ht="36" customHeight="1" x14ac:dyDescent="0.9">
      <c r="A329" s="64">
        <v>1</v>
      </c>
      <c r="B329" s="92">
        <f>SUBTOTAL(103,$A$16:A329)</f>
        <v>299</v>
      </c>
      <c r="C329" s="91" t="s">
        <v>1583</v>
      </c>
      <c r="D329" s="126">
        <v>1967</v>
      </c>
      <c r="E329" s="126"/>
      <c r="F329" s="145" t="s">
        <v>273</v>
      </c>
      <c r="G329" s="126">
        <v>2</v>
      </c>
      <c r="H329" s="126">
        <v>1</v>
      </c>
      <c r="I329" s="118">
        <v>391.7</v>
      </c>
      <c r="J329" s="118">
        <v>362.7</v>
      </c>
      <c r="K329" s="118">
        <v>362.7</v>
      </c>
      <c r="L329" s="127">
        <v>15</v>
      </c>
      <c r="M329" s="126" t="s">
        <v>271</v>
      </c>
      <c r="N329" s="126" t="s">
        <v>275</v>
      </c>
      <c r="O329" s="124" t="s">
        <v>342</v>
      </c>
      <c r="P329" s="118">
        <v>1410291.19</v>
      </c>
      <c r="Q329" s="118">
        <v>0</v>
      </c>
      <c r="R329" s="118">
        <v>0</v>
      </c>
      <c r="S329" s="118">
        <f>P329-R329-Q329</f>
        <v>1410291.19</v>
      </c>
      <c r="T329" s="118">
        <f t="shared" si="45"/>
        <v>3600.4370436558588</v>
      </c>
      <c r="U329" s="118">
        <f>Y329</f>
        <v>4387.2718406944095</v>
      </c>
      <c r="V329" s="183">
        <f t="shared" si="38"/>
        <v>786.83479703855073</v>
      </c>
      <c r="W329" s="183"/>
      <c r="X329" s="183"/>
      <c r="Y329" s="64">
        <f t="shared" si="39"/>
        <v>4387.2718406944095</v>
      </c>
      <c r="AA329" s="64">
        <f t="shared" si="40"/>
        <v>329.1</v>
      </c>
      <c r="AC329" s="64" t="s">
        <v>1408</v>
      </c>
      <c r="AD329" s="64">
        <v>670</v>
      </c>
      <c r="AH329" s="64" t="e">
        <f t="shared" si="41"/>
        <v>#N/A</v>
      </c>
      <c r="AS329" s="64" t="e">
        <f t="shared" si="42"/>
        <v>#N/A</v>
      </c>
    </row>
    <row r="330" spans="1:45" s="64" customFormat="1" ht="36" customHeight="1" x14ac:dyDescent="0.9">
      <c r="A330" s="64">
        <v>1</v>
      </c>
      <c r="B330" s="92">
        <f>SUBTOTAL(103,$A$16:A330)</f>
        <v>300</v>
      </c>
      <c r="C330" s="91" t="s">
        <v>1584</v>
      </c>
      <c r="D330" s="126">
        <v>1969</v>
      </c>
      <c r="E330" s="126"/>
      <c r="F330" s="145" t="s">
        <v>273</v>
      </c>
      <c r="G330" s="126">
        <v>2</v>
      </c>
      <c r="H330" s="126">
        <v>2</v>
      </c>
      <c r="I330" s="118">
        <v>705.3</v>
      </c>
      <c r="J330" s="118">
        <v>681.2</v>
      </c>
      <c r="K330" s="118">
        <v>626.79999999999995</v>
      </c>
      <c r="L330" s="127">
        <v>32</v>
      </c>
      <c r="M330" s="126" t="s">
        <v>271</v>
      </c>
      <c r="N330" s="126" t="s">
        <v>275</v>
      </c>
      <c r="O330" s="124" t="s">
        <v>341</v>
      </c>
      <c r="P330" s="118">
        <v>2288459.5900000003</v>
      </c>
      <c r="Q330" s="118">
        <v>0</v>
      </c>
      <c r="R330" s="118">
        <v>0</v>
      </c>
      <c r="S330" s="118">
        <f>P330-R330-Q330</f>
        <v>2288459.5900000003</v>
      </c>
      <c r="T330" s="118">
        <f t="shared" si="45"/>
        <v>3244.6612647100533</v>
      </c>
      <c r="U330" s="118">
        <f>Y330</f>
        <v>4523.6350489153556</v>
      </c>
      <c r="V330" s="183">
        <f t="shared" si="38"/>
        <v>1278.9737842053023</v>
      </c>
      <c r="W330" s="183"/>
      <c r="X330" s="183"/>
      <c r="Y330" s="64">
        <f t="shared" si="39"/>
        <v>4523.6350489153556</v>
      </c>
      <c r="AA330" s="64">
        <f t="shared" si="40"/>
        <v>611</v>
      </c>
      <c r="AC330" s="64" t="s">
        <v>1409</v>
      </c>
      <c r="AD330" s="64">
        <v>272.05</v>
      </c>
      <c r="AH330" s="64" t="e">
        <f t="shared" si="41"/>
        <v>#N/A</v>
      </c>
      <c r="AS330" s="64" t="e">
        <f t="shared" si="42"/>
        <v>#N/A</v>
      </c>
    </row>
    <row r="331" spans="1:45" s="64" customFormat="1" ht="36" customHeight="1" x14ac:dyDescent="0.9">
      <c r="A331" s="64">
        <v>1</v>
      </c>
      <c r="B331" s="92">
        <f>SUBTOTAL(103,$A$16:A331)</f>
        <v>301</v>
      </c>
      <c r="C331" s="91" t="s">
        <v>1598</v>
      </c>
      <c r="D331" s="126">
        <v>1949</v>
      </c>
      <c r="E331" s="126"/>
      <c r="F331" s="145" t="s">
        <v>1343</v>
      </c>
      <c r="G331" s="126">
        <v>2</v>
      </c>
      <c r="H331" s="126">
        <v>2</v>
      </c>
      <c r="I331" s="118">
        <v>920.8</v>
      </c>
      <c r="J331" s="118">
        <v>760.8</v>
      </c>
      <c r="K331" s="118">
        <v>760.18</v>
      </c>
      <c r="L331" s="127">
        <v>42</v>
      </c>
      <c r="M331" s="126" t="s">
        <v>271</v>
      </c>
      <c r="N331" s="126" t="s">
        <v>275</v>
      </c>
      <c r="O331" s="124" t="s">
        <v>342</v>
      </c>
      <c r="P331" s="118">
        <v>2836351.9</v>
      </c>
      <c r="Q331" s="118">
        <v>0</v>
      </c>
      <c r="R331" s="118">
        <v>0</v>
      </c>
      <c r="S331" s="118">
        <f>P331-R331-Q331</f>
        <v>2836351.9</v>
      </c>
      <c r="T331" s="118">
        <f t="shared" si="45"/>
        <v>3080.3126629018248</v>
      </c>
      <c r="U331" s="118">
        <f>Y331</f>
        <v>3436.5886185925287</v>
      </c>
      <c r="V331" s="183">
        <f t="shared" si="38"/>
        <v>356.275955690704</v>
      </c>
      <c r="W331" s="183"/>
      <c r="X331" s="183"/>
      <c r="Y331" s="64">
        <f t="shared" si="39"/>
        <v>3436.5886185925287</v>
      </c>
      <c r="AA331" s="64">
        <f t="shared" si="40"/>
        <v>606</v>
      </c>
      <c r="AC331" s="64" t="s">
        <v>1410</v>
      </c>
      <c r="AD331" s="64">
        <v>886</v>
      </c>
      <c r="AH331" s="64" t="e">
        <f t="shared" si="41"/>
        <v>#N/A</v>
      </c>
      <c r="AS331" s="64" t="e">
        <f t="shared" si="42"/>
        <v>#N/A</v>
      </c>
    </row>
    <row r="332" spans="1:45" s="64" customFormat="1" ht="36" customHeight="1" x14ac:dyDescent="0.9">
      <c r="A332" s="64">
        <v>1</v>
      </c>
      <c r="B332" s="92">
        <f>SUBTOTAL(103,$A$16:A332)</f>
        <v>302</v>
      </c>
      <c r="C332" s="91" t="s">
        <v>1599</v>
      </c>
      <c r="D332" s="126">
        <v>1961</v>
      </c>
      <c r="E332" s="126"/>
      <c r="F332" s="145" t="s">
        <v>273</v>
      </c>
      <c r="G332" s="126">
        <v>2</v>
      </c>
      <c r="H332" s="126">
        <v>2</v>
      </c>
      <c r="I332" s="118">
        <v>755.3</v>
      </c>
      <c r="J332" s="118">
        <v>704.1</v>
      </c>
      <c r="K332" s="118">
        <v>704.1</v>
      </c>
      <c r="L332" s="127">
        <v>31</v>
      </c>
      <c r="M332" s="126" t="s">
        <v>271</v>
      </c>
      <c r="N332" s="126" t="s">
        <v>275</v>
      </c>
      <c r="O332" s="124" t="s">
        <v>341</v>
      </c>
      <c r="P332" s="118">
        <v>2304536.62</v>
      </c>
      <c r="Q332" s="118">
        <v>0</v>
      </c>
      <c r="R332" s="118">
        <v>0</v>
      </c>
      <c r="S332" s="118">
        <f>P332-R332-Q332</f>
        <v>2304536.62</v>
      </c>
      <c r="T332" s="118">
        <f t="shared" si="45"/>
        <v>3051.1540050311137</v>
      </c>
      <c r="U332" s="118">
        <f>Y332</f>
        <v>4093.302166026745</v>
      </c>
      <c r="V332" s="183">
        <f t="shared" si="38"/>
        <v>1042.1481609956313</v>
      </c>
      <c r="W332" s="183"/>
      <c r="X332" s="183"/>
      <c r="Y332" s="64">
        <f t="shared" si="39"/>
        <v>4093.302166026745</v>
      </c>
      <c r="AA332" s="64">
        <f t="shared" si="40"/>
        <v>592.07000000000005</v>
      </c>
      <c r="AC332" s="64" t="s">
        <v>1411</v>
      </c>
      <c r="AD332" s="64">
        <v>630</v>
      </c>
      <c r="AH332" s="64" t="e">
        <f t="shared" si="41"/>
        <v>#N/A</v>
      </c>
      <c r="AS332" s="64" t="e">
        <f t="shared" si="42"/>
        <v>#N/A</v>
      </c>
    </row>
    <row r="333" spans="1:45" s="64" customFormat="1" ht="36" customHeight="1" x14ac:dyDescent="0.9">
      <c r="A333" s="64">
        <v>1</v>
      </c>
      <c r="B333" s="92">
        <f>SUBTOTAL(103,$A$16:A333)</f>
        <v>303</v>
      </c>
      <c r="C333" s="91" t="s">
        <v>1635</v>
      </c>
      <c r="D333" s="126">
        <v>1958</v>
      </c>
      <c r="E333" s="126"/>
      <c r="F333" s="145" t="s">
        <v>338</v>
      </c>
      <c r="G333" s="126">
        <v>2</v>
      </c>
      <c r="H333" s="126">
        <v>1</v>
      </c>
      <c r="I333" s="118">
        <v>658</v>
      </c>
      <c r="J333" s="118">
        <v>250.1</v>
      </c>
      <c r="K333" s="118">
        <v>250.1</v>
      </c>
      <c r="L333" s="127">
        <v>21</v>
      </c>
      <c r="M333" s="126" t="s">
        <v>271</v>
      </c>
      <c r="N333" s="126" t="s">
        <v>275</v>
      </c>
      <c r="O333" s="124" t="s">
        <v>341</v>
      </c>
      <c r="P333" s="118">
        <v>1465773.2100000002</v>
      </c>
      <c r="Q333" s="118">
        <v>0</v>
      </c>
      <c r="R333" s="118">
        <v>0</v>
      </c>
      <c r="S333" s="118">
        <f>P333-R333-Q333</f>
        <v>1465773.2100000002</v>
      </c>
      <c r="T333" s="118">
        <f t="shared" si="45"/>
        <v>2227.618860182371</v>
      </c>
      <c r="U333" s="118">
        <f>AG333</f>
        <v>9354.9364094362245</v>
      </c>
      <c r="V333" s="183">
        <f t="shared" si="38"/>
        <v>7127.3175492538539</v>
      </c>
      <c r="W333" s="183"/>
      <c r="X333" s="183"/>
      <c r="Y333" s="64" t="e">
        <f t="shared" si="39"/>
        <v>#N/A</v>
      </c>
      <c r="AA333" s="64" t="e">
        <f t="shared" si="40"/>
        <v>#N/A</v>
      </c>
      <c r="AC333" s="64" t="s">
        <v>496</v>
      </c>
      <c r="AD333" s="64">
        <v>1089.5999999999999</v>
      </c>
      <c r="AG333" s="64">
        <f>AH333*6191.24/J333</f>
        <v>9354.9364094362245</v>
      </c>
      <c r="AH333" s="64">
        <f t="shared" si="41"/>
        <v>377.9</v>
      </c>
      <c r="AS333" s="64" t="e">
        <f t="shared" si="42"/>
        <v>#N/A</v>
      </c>
    </row>
    <row r="334" spans="1:45" s="64" customFormat="1" ht="36" customHeight="1" x14ac:dyDescent="0.9">
      <c r="B334" s="91" t="s">
        <v>850</v>
      </c>
      <c r="C334" s="91"/>
      <c r="D334" s="126" t="s">
        <v>916</v>
      </c>
      <c r="E334" s="126" t="s">
        <v>916</v>
      </c>
      <c r="F334" s="126" t="s">
        <v>916</v>
      </c>
      <c r="G334" s="126" t="s">
        <v>916</v>
      </c>
      <c r="H334" s="126" t="s">
        <v>916</v>
      </c>
      <c r="I334" s="117">
        <f>SUM(I335:I340)</f>
        <v>2214.1</v>
      </c>
      <c r="J334" s="117">
        <f>SUM(J335:J340)</f>
        <v>1957.3</v>
      </c>
      <c r="K334" s="117">
        <f>SUM(K335:K340)</f>
        <v>1343.8999999999999</v>
      </c>
      <c r="L334" s="127">
        <f>SUM(L335:L340)</f>
        <v>77</v>
      </c>
      <c r="M334" s="126" t="s">
        <v>916</v>
      </c>
      <c r="N334" s="126" t="s">
        <v>916</v>
      </c>
      <c r="O334" s="124" t="s">
        <v>916</v>
      </c>
      <c r="P334" s="117">
        <v>4497026.37</v>
      </c>
      <c r="Q334" s="117">
        <f>SUM(Q335:Q340)</f>
        <v>0</v>
      </c>
      <c r="R334" s="117">
        <f>SUM(R335:R340)</f>
        <v>0</v>
      </c>
      <c r="S334" s="117">
        <f>SUM(S335:S340)</f>
        <v>4497026.37</v>
      </c>
      <c r="T334" s="118">
        <f t="shared" si="45"/>
        <v>2031.0854839438148</v>
      </c>
      <c r="U334" s="118">
        <f>MAX(U335:U340)</f>
        <v>9214.674517766498</v>
      </c>
      <c r="V334" s="183">
        <f t="shared" si="38"/>
        <v>7183.5890338226836</v>
      </c>
      <c r="W334" s="183"/>
      <c r="X334" s="183"/>
      <c r="Y334" s="64" t="e">
        <f t="shared" si="39"/>
        <v>#N/A</v>
      </c>
      <c r="AA334" s="64" t="e">
        <f t="shared" si="40"/>
        <v>#N/A</v>
      </c>
      <c r="AC334" s="64" t="s">
        <v>1430</v>
      </c>
      <c r="AD334" s="64">
        <v>831.1</v>
      </c>
      <c r="AH334" s="64" t="e">
        <f t="shared" si="41"/>
        <v>#N/A</v>
      </c>
      <c r="AS334" s="64" t="e">
        <f t="shared" si="42"/>
        <v>#N/A</v>
      </c>
    </row>
    <row r="335" spans="1:45" s="64" customFormat="1" ht="36" customHeight="1" x14ac:dyDescent="0.9">
      <c r="A335" s="64">
        <v>1</v>
      </c>
      <c r="B335" s="92">
        <f>SUBTOTAL(103,$A$16:A335)</f>
        <v>304</v>
      </c>
      <c r="C335" s="91" t="s">
        <v>251</v>
      </c>
      <c r="D335" s="126">
        <v>1955</v>
      </c>
      <c r="E335" s="126"/>
      <c r="F335" s="145" t="s">
        <v>338</v>
      </c>
      <c r="G335" s="126">
        <v>2</v>
      </c>
      <c r="H335" s="126">
        <v>1</v>
      </c>
      <c r="I335" s="118">
        <v>374.6</v>
      </c>
      <c r="J335" s="118">
        <v>343.4</v>
      </c>
      <c r="K335" s="118">
        <v>211.5</v>
      </c>
      <c r="L335" s="127">
        <v>7</v>
      </c>
      <c r="M335" s="126" t="s">
        <v>271</v>
      </c>
      <c r="N335" s="126" t="s">
        <v>272</v>
      </c>
      <c r="O335" s="124" t="s">
        <v>274</v>
      </c>
      <c r="P335" s="118">
        <v>177334.07</v>
      </c>
      <c r="Q335" s="118">
        <v>0</v>
      </c>
      <c r="R335" s="118">
        <v>0</v>
      </c>
      <c r="S335" s="118">
        <f>P335-Q335-R335</f>
        <v>177334.07</v>
      </c>
      <c r="T335" s="118">
        <f t="shared" si="45"/>
        <v>473.39580886278696</v>
      </c>
      <c r="U335" s="118">
        <v>764.97453283502387</v>
      </c>
      <c r="V335" s="183">
        <f t="shared" si="38"/>
        <v>291.5787239722369</v>
      </c>
      <c r="W335" s="183"/>
      <c r="X335" s="183"/>
      <c r="Y335" s="64" t="e">
        <f t="shared" si="39"/>
        <v>#N/A</v>
      </c>
      <c r="AA335" s="64" t="e">
        <f t="shared" si="40"/>
        <v>#N/A</v>
      </c>
      <c r="AC335" s="64" t="s">
        <v>1147</v>
      </c>
      <c r="AD335" s="64">
        <v>453.4</v>
      </c>
      <c r="AH335" s="64" t="e">
        <f t="shared" si="41"/>
        <v>#N/A</v>
      </c>
      <c r="AS335" s="64" t="e">
        <f t="shared" si="42"/>
        <v>#N/A</v>
      </c>
    </row>
    <row r="336" spans="1:45" s="64" customFormat="1" ht="36" customHeight="1" x14ac:dyDescent="0.9">
      <c r="A336" s="64">
        <v>1</v>
      </c>
      <c r="B336" s="92">
        <f>SUBTOTAL(103,$A$16:A336)</f>
        <v>305</v>
      </c>
      <c r="C336" s="91" t="s">
        <v>252</v>
      </c>
      <c r="D336" s="126">
        <v>1954</v>
      </c>
      <c r="E336" s="126"/>
      <c r="F336" s="145" t="s">
        <v>273</v>
      </c>
      <c r="G336" s="126">
        <v>2</v>
      </c>
      <c r="H336" s="126">
        <v>1</v>
      </c>
      <c r="I336" s="118">
        <v>373.6</v>
      </c>
      <c r="J336" s="118">
        <v>342.5</v>
      </c>
      <c r="K336" s="118">
        <v>160.1</v>
      </c>
      <c r="L336" s="127">
        <v>12</v>
      </c>
      <c r="M336" s="126" t="s">
        <v>271</v>
      </c>
      <c r="N336" s="126" t="s">
        <v>272</v>
      </c>
      <c r="O336" s="124" t="s">
        <v>274</v>
      </c>
      <c r="P336" s="118">
        <v>186194.91</v>
      </c>
      <c r="Q336" s="118">
        <v>0</v>
      </c>
      <c r="R336" s="118">
        <v>0</v>
      </c>
      <c r="S336" s="118">
        <f>P336-Q336-R336</f>
        <v>186194.91</v>
      </c>
      <c r="T336" s="118">
        <f t="shared" si="45"/>
        <v>498.38038008565309</v>
      </c>
      <c r="U336" s="118">
        <v>766.04633297644546</v>
      </c>
      <c r="V336" s="183">
        <f t="shared" si="38"/>
        <v>267.66595289079237</v>
      </c>
      <c r="W336" s="183"/>
      <c r="X336" s="183"/>
      <c r="Y336" s="64" t="e">
        <f t="shared" si="39"/>
        <v>#N/A</v>
      </c>
      <c r="AA336" s="64" t="e">
        <f t="shared" si="40"/>
        <v>#N/A</v>
      </c>
      <c r="AC336" s="64" t="s">
        <v>1148</v>
      </c>
      <c r="AD336" s="64">
        <v>523.98</v>
      </c>
      <c r="AH336" s="64" t="e">
        <f t="shared" si="41"/>
        <v>#N/A</v>
      </c>
      <c r="AS336" s="64" t="e">
        <f t="shared" si="42"/>
        <v>#N/A</v>
      </c>
    </row>
    <row r="337" spans="1:45" s="64" customFormat="1" ht="36" customHeight="1" x14ac:dyDescent="0.9">
      <c r="A337" s="64">
        <v>1</v>
      </c>
      <c r="B337" s="92">
        <f>SUBTOTAL(103,$A$16:A337)</f>
        <v>306</v>
      </c>
      <c r="C337" s="91" t="s">
        <v>1249</v>
      </c>
      <c r="D337" s="126">
        <v>1968</v>
      </c>
      <c r="E337" s="126"/>
      <c r="F337" s="145" t="s">
        <v>273</v>
      </c>
      <c r="G337" s="126">
        <v>2</v>
      </c>
      <c r="H337" s="126">
        <v>1</v>
      </c>
      <c r="I337" s="118">
        <v>334.9</v>
      </c>
      <c r="J337" s="118">
        <v>302.2</v>
      </c>
      <c r="K337" s="118">
        <v>302.2</v>
      </c>
      <c r="L337" s="127">
        <v>16</v>
      </c>
      <c r="M337" s="126" t="s">
        <v>271</v>
      </c>
      <c r="N337" s="126" t="s">
        <v>272</v>
      </c>
      <c r="O337" s="124" t="s">
        <v>274</v>
      </c>
      <c r="P337" s="118">
        <v>383818.77</v>
      </c>
      <c r="Q337" s="118">
        <v>0</v>
      </c>
      <c r="R337" s="118">
        <v>0</v>
      </c>
      <c r="S337" s="118">
        <f>P337-Q337-R337</f>
        <v>383818.77</v>
      </c>
      <c r="T337" s="118">
        <f t="shared" si="45"/>
        <v>1146.069782024485</v>
      </c>
      <c r="U337" s="118">
        <v>9214.674517766498</v>
      </c>
      <c r="V337" s="183">
        <f t="shared" ref="V337:V400" si="46">U337-T337</f>
        <v>8068.604735742013</v>
      </c>
      <c r="W337" s="183"/>
      <c r="X337" s="183"/>
      <c r="Y337" s="64" t="e">
        <f t="shared" ref="Y337:Y400" si="47">AA337*5221.8/I337</f>
        <v>#N/A</v>
      </c>
      <c r="AA337" s="64" t="e">
        <f t="shared" ref="AA337:AA400" si="48">VLOOKUP(C337,AC:AE,2,FALSE)</f>
        <v>#N/A</v>
      </c>
      <c r="AC337" s="64" t="s">
        <v>1150</v>
      </c>
      <c r="AD337" s="64">
        <v>1093</v>
      </c>
      <c r="AH337" s="64" t="e">
        <f t="shared" ref="AH337:AH400" si="49">VLOOKUP(C337,AJ:AK,2,FALSE)</f>
        <v>#N/A</v>
      </c>
      <c r="AS337" s="64" t="e">
        <f t="shared" ref="AS337:AS400" si="50">VLOOKUP(C337,AU:AV,2,FALSE)</f>
        <v>#N/A</v>
      </c>
    </row>
    <row r="338" spans="1:45" s="64" customFormat="1" ht="36" customHeight="1" x14ac:dyDescent="0.9">
      <c r="A338" s="64">
        <v>1</v>
      </c>
      <c r="B338" s="92">
        <f>SUBTOTAL(103,$A$16:A338)</f>
        <v>307</v>
      </c>
      <c r="C338" s="91" t="s">
        <v>249</v>
      </c>
      <c r="D338" s="126">
        <v>1969</v>
      </c>
      <c r="E338" s="126"/>
      <c r="F338" s="145" t="s">
        <v>273</v>
      </c>
      <c r="G338" s="126">
        <v>2</v>
      </c>
      <c r="H338" s="126">
        <v>1</v>
      </c>
      <c r="I338" s="118">
        <v>384.6</v>
      </c>
      <c r="J338" s="118">
        <v>359.9</v>
      </c>
      <c r="K338" s="118">
        <v>359.9</v>
      </c>
      <c r="L338" s="127">
        <v>16</v>
      </c>
      <c r="M338" s="126" t="s">
        <v>271</v>
      </c>
      <c r="N338" s="126" t="s">
        <v>272</v>
      </c>
      <c r="O338" s="124" t="s">
        <v>274</v>
      </c>
      <c r="P338" s="118">
        <v>1450014</v>
      </c>
      <c r="Q338" s="118">
        <v>0</v>
      </c>
      <c r="R338" s="118">
        <v>0</v>
      </c>
      <c r="S338" s="118">
        <f>P338-Q338-R338</f>
        <v>1450014</v>
      </c>
      <c r="T338" s="118">
        <f t="shared" si="45"/>
        <v>3770.1872074882995</v>
      </c>
      <c r="U338" s="118">
        <f>AG338</f>
        <v>6349.504540150042</v>
      </c>
      <c r="V338" s="183">
        <f t="shared" si="46"/>
        <v>2579.3173326617425</v>
      </c>
      <c r="W338" s="183"/>
      <c r="X338" s="183"/>
      <c r="Y338" s="64" t="e">
        <f t="shared" si="47"/>
        <v>#N/A</v>
      </c>
      <c r="AA338" s="64" t="e">
        <f t="shared" si="48"/>
        <v>#N/A</v>
      </c>
      <c r="AC338" s="64" t="s">
        <v>1161</v>
      </c>
      <c r="AD338" s="64">
        <v>543.4</v>
      </c>
      <c r="AG338" s="64">
        <f>AH338*6191.24/J338</f>
        <v>6349.504540150042</v>
      </c>
      <c r="AH338" s="64">
        <f t="shared" si="49"/>
        <v>369.1</v>
      </c>
      <c r="AS338" s="64" t="e">
        <f t="shared" si="50"/>
        <v>#N/A</v>
      </c>
    </row>
    <row r="339" spans="1:45" s="64" customFormat="1" ht="36" customHeight="1" x14ac:dyDescent="0.9">
      <c r="A339" s="64">
        <v>1</v>
      </c>
      <c r="B339" s="92">
        <f>SUBTOTAL(103,$A$16:A339)</f>
        <v>308</v>
      </c>
      <c r="C339" s="91" t="s">
        <v>1585</v>
      </c>
      <c r="D339" s="126">
        <v>1960</v>
      </c>
      <c r="E339" s="126"/>
      <c r="F339" s="145" t="s">
        <v>273</v>
      </c>
      <c r="G339" s="126">
        <v>2</v>
      </c>
      <c r="H339" s="126">
        <v>1</v>
      </c>
      <c r="I339" s="118">
        <v>407.9</v>
      </c>
      <c r="J339" s="118">
        <v>299.10000000000002</v>
      </c>
      <c r="K339" s="118">
        <v>0</v>
      </c>
      <c r="L339" s="127">
        <v>9</v>
      </c>
      <c r="M339" s="126" t="s">
        <v>271</v>
      </c>
      <c r="N339" s="126" t="s">
        <v>272</v>
      </c>
      <c r="O339" s="124" t="s">
        <v>274</v>
      </c>
      <c r="P339" s="118">
        <v>994570.83</v>
      </c>
      <c r="Q339" s="118">
        <v>0</v>
      </c>
      <c r="R339" s="118">
        <v>0</v>
      </c>
      <c r="S339" s="118">
        <f>P339-R339-Q339</f>
        <v>994570.83</v>
      </c>
      <c r="T339" s="118">
        <f t="shared" si="45"/>
        <v>2438.2712184358911</v>
      </c>
      <c r="U339" s="118">
        <f>Y339</f>
        <v>3187.6151017406228</v>
      </c>
      <c r="V339" s="183">
        <f t="shared" si="46"/>
        <v>749.34388330473166</v>
      </c>
      <c r="W339" s="183"/>
      <c r="X339" s="183"/>
      <c r="Y339" s="64">
        <f t="shared" si="47"/>
        <v>3187.6151017406228</v>
      </c>
      <c r="AA339" s="64">
        <f t="shared" si="48"/>
        <v>249</v>
      </c>
      <c r="AC339" s="64" t="s">
        <v>1162</v>
      </c>
      <c r="AD339" s="64">
        <v>665</v>
      </c>
      <c r="AH339" s="64" t="e">
        <f t="shared" si="49"/>
        <v>#N/A</v>
      </c>
      <c r="AS339" s="64" t="e">
        <f t="shared" si="50"/>
        <v>#N/A</v>
      </c>
    </row>
    <row r="340" spans="1:45" s="64" customFormat="1" ht="36" customHeight="1" x14ac:dyDescent="0.9">
      <c r="A340" s="64">
        <v>1</v>
      </c>
      <c r="B340" s="92">
        <f>SUBTOTAL(103,$A$16:A340)</f>
        <v>309</v>
      </c>
      <c r="C340" s="91" t="s">
        <v>1586</v>
      </c>
      <c r="D340" s="126">
        <v>1962</v>
      </c>
      <c r="E340" s="126"/>
      <c r="F340" s="145" t="s">
        <v>273</v>
      </c>
      <c r="G340" s="126">
        <v>2</v>
      </c>
      <c r="H340" s="126">
        <v>2</v>
      </c>
      <c r="I340" s="118">
        <v>338.5</v>
      </c>
      <c r="J340" s="118">
        <v>310.2</v>
      </c>
      <c r="K340" s="118">
        <v>310.2</v>
      </c>
      <c r="L340" s="127">
        <v>17</v>
      </c>
      <c r="M340" s="126" t="s">
        <v>271</v>
      </c>
      <c r="N340" s="126" t="s">
        <v>349</v>
      </c>
      <c r="O340" s="124" t="s">
        <v>1630</v>
      </c>
      <c r="P340" s="118">
        <v>1305093.79</v>
      </c>
      <c r="Q340" s="118">
        <v>0</v>
      </c>
      <c r="R340" s="118">
        <v>0</v>
      </c>
      <c r="S340" s="118">
        <f>P340-R340-Q340</f>
        <v>1305093.79</v>
      </c>
      <c r="T340" s="118">
        <f t="shared" si="45"/>
        <v>3855.5207976366323</v>
      </c>
      <c r="U340" s="118">
        <f>Y340</f>
        <v>4766.7243722304283</v>
      </c>
      <c r="V340" s="183">
        <f t="shared" si="46"/>
        <v>911.20357459379602</v>
      </c>
      <c r="W340" s="183"/>
      <c r="X340" s="183"/>
      <c r="Y340" s="64">
        <f t="shared" si="47"/>
        <v>4766.7243722304283</v>
      </c>
      <c r="AA340" s="64">
        <f t="shared" si="48"/>
        <v>309</v>
      </c>
      <c r="AC340" s="64" t="s">
        <v>1667</v>
      </c>
      <c r="AD340" s="64">
        <v>900</v>
      </c>
      <c r="AH340" s="64" t="e">
        <f t="shared" si="49"/>
        <v>#N/A</v>
      </c>
      <c r="AS340" s="64" t="e">
        <f t="shared" si="50"/>
        <v>#N/A</v>
      </c>
    </row>
    <row r="341" spans="1:45" s="64" customFormat="1" ht="36" customHeight="1" x14ac:dyDescent="0.9">
      <c r="B341" s="91" t="s">
        <v>851</v>
      </c>
      <c r="C341" s="91"/>
      <c r="D341" s="126" t="s">
        <v>916</v>
      </c>
      <c r="E341" s="126" t="s">
        <v>916</v>
      </c>
      <c r="F341" s="126" t="s">
        <v>916</v>
      </c>
      <c r="G341" s="126" t="s">
        <v>916</v>
      </c>
      <c r="H341" s="126" t="s">
        <v>916</v>
      </c>
      <c r="I341" s="117">
        <f>SUM(I342:I344)</f>
        <v>2026.2</v>
      </c>
      <c r="J341" s="117">
        <f>SUM(J342:J344)</f>
        <v>1548.5</v>
      </c>
      <c r="K341" s="117">
        <f>SUM(K342:K344)</f>
        <v>1408.9</v>
      </c>
      <c r="L341" s="127">
        <f>SUM(L342:L344)</f>
        <v>65</v>
      </c>
      <c r="M341" s="126" t="s">
        <v>916</v>
      </c>
      <c r="N341" s="126" t="s">
        <v>916</v>
      </c>
      <c r="O341" s="124" t="s">
        <v>916</v>
      </c>
      <c r="P341" s="118">
        <v>5532352.54</v>
      </c>
      <c r="Q341" s="118">
        <f>SUM(Q342:Q344)</f>
        <v>0</v>
      </c>
      <c r="R341" s="118">
        <f>SUM(R342:R344)</f>
        <v>0</v>
      </c>
      <c r="S341" s="118">
        <f>SUM(S342:S344)</f>
        <v>5532352.54</v>
      </c>
      <c r="T341" s="118">
        <f t="shared" si="45"/>
        <v>2730.4079261672096</v>
      </c>
      <c r="U341" s="118">
        <f>MAX(U342:U344)</f>
        <v>7318.0723663793106</v>
      </c>
      <c r="V341" s="183">
        <f t="shared" si="46"/>
        <v>4587.664440212101</v>
      </c>
      <c r="W341" s="183"/>
      <c r="X341" s="183"/>
      <c r="Y341" s="64" t="e">
        <f t="shared" si="47"/>
        <v>#N/A</v>
      </c>
      <c r="AA341" s="64" t="e">
        <f t="shared" si="48"/>
        <v>#N/A</v>
      </c>
      <c r="AC341" s="64" t="s">
        <v>1668</v>
      </c>
      <c r="AD341" s="64">
        <v>830</v>
      </c>
      <c r="AH341" s="64" t="e">
        <f t="shared" si="49"/>
        <v>#N/A</v>
      </c>
      <c r="AS341" s="64" t="e">
        <f t="shared" si="50"/>
        <v>#N/A</v>
      </c>
    </row>
    <row r="342" spans="1:45" s="64" customFormat="1" ht="36" customHeight="1" x14ac:dyDescent="0.9">
      <c r="A342" s="64">
        <v>1</v>
      </c>
      <c r="B342" s="92">
        <f>SUBTOTAL(103,$A$16:A342)</f>
        <v>310</v>
      </c>
      <c r="C342" s="91" t="s">
        <v>246</v>
      </c>
      <c r="D342" s="126">
        <v>1969</v>
      </c>
      <c r="E342" s="126"/>
      <c r="F342" s="145" t="s">
        <v>319</v>
      </c>
      <c r="G342" s="126">
        <v>2</v>
      </c>
      <c r="H342" s="126">
        <v>2</v>
      </c>
      <c r="I342" s="118">
        <v>924.7</v>
      </c>
      <c r="J342" s="118">
        <v>556</v>
      </c>
      <c r="K342" s="118">
        <v>474.7</v>
      </c>
      <c r="L342" s="127">
        <v>25</v>
      </c>
      <c r="M342" s="126" t="s">
        <v>271</v>
      </c>
      <c r="N342" s="126" t="s">
        <v>272</v>
      </c>
      <c r="O342" s="124" t="s">
        <v>274</v>
      </c>
      <c r="P342" s="118">
        <v>1765119.99</v>
      </c>
      <c r="Q342" s="118">
        <v>0</v>
      </c>
      <c r="R342" s="118">
        <v>0</v>
      </c>
      <c r="S342" s="118">
        <f>P342-Q342-R342</f>
        <v>1765119.99</v>
      </c>
      <c r="T342" s="118">
        <f t="shared" si="45"/>
        <v>1908.8569157564614</v>
      </c>
      <c r="U342" s="118">
        <f>AG342</f>
        <v>5462.9898273381295</v>
      </c>
      <c r="V342" s="183">
        <f t="shared" si="46"/>
        <v>3554.1329115816679</v>
      </c>
      <c r="W342" s="183"/>
      <c r="X342" s="183"/>
      <c r="Y342" s="64" t="e">
        <f t="shared" si="47"/>
        <v>#N/A</v>
      </c>
      <c r="AA342" s="64" t="e">
        <f t="shared" si="48"/>
        <v>#N/A</v>
      </c>
      <c r="AC342" s="64" t="s">
        <v>466</v>
      </c>
      <c r="AD342" s="64">
        <v>620.9</v>
      </c>
      <c r="AG342" s="64">
        <f>AH342*6191.24/J342</f>
        <v>5462.9898273381295</v>
      </c>
      <c r="AH342" s="64">
        <f t="shared" si="49"/>
        <v>490.6</v>
      </c>
      <c r="AS342" s="64" t="e">
        <f t="shared" si="50"/>
        <v>#N/A</v>
      </c>
    </row>
    <row r="343" spans="1:45" s="64" customFormat="1" ht="36" customHeight="1" x14ac:dyDescent="0.9">
      <c r="A343" s="64">
        <v>1</v>
      </c>
      <c r="B343" s="92">
        <f>SUBTOTAL(103,$A$16:A343)</f>
        <v>311</v>
      </c>
      <c r="C343" s="91" t="s">
        <v>1247</v>
      </c>
      <c r="D343" s="126">
        <v>1984</v>
      </c>
      <c r="E343" s="126"/>
      <c r="F343" s="145" t="s">
        <v>326</v>
      </c>
      <c r="G343" s="126">
        <v>2</v>
      </c>
      <c r="H343" s="126">
        <v>2</v>
      </c>
      <c r="I343" s="118">
        <v>610.29999999999995</v>
      </c>
      <c r="J343" s="118">
        <v>556.79999999999995</v>
      </c>
      <c r="K343" s="118">
        <v>498.5</v>
      </c>
      <c r="L343" s="127">
        <v>22</v>
      </c>
      <c r="M343" s="126" t="s">
        <v>271</v>
      </c>
      <c r="N343" s="126" t="s">
        <v>272</v>
      </c>
      <c r="O343" s="124" t="s">
        <v>274</v>
      </c>
      <c r="P343" s="118">
        <v>2476874.58</v>
      </c>
      <c r="Q343" s="118">
        <v>0</v>
      </c>
      <c r="R343" s="118">
        <v>0</v>
      </c>
      <c r="S343" s="118">
        <f>P343-Q343-R343</f>
        <v>2476874.58</v>
      </c>
      <c r="T343" s="118">
        <f t="shared" si="45"/>
        <v>4058.4541700802888</v>
      </c>
      <c r="U343" s="118">
        <f>AG343</f>
        <v>7318.0723663793106</v>
      </c>
      <c r="V343" s="183">
        <f t="shared" si="46"/>
        <v>3259.6181962990217</v>
      </c>
      <c r="W343" s="183"/>
      <c r="X343" s="183"/>
      <c r="Y343" s="64" t="e">
        <f t="shared" si="47"/>
        <v>#N/A</v>
      </c>
      <c r="AA343" s="64" t="e">
        <f t="shared" si="48"/>
        <v>#N/A</v>
      </c>
      <c r="AC343" s="64" t="s">
        <v>468</v>
      </c>
      <c r="AD343" s="64">
        <v>886</v>
      </c>
      <c r="AG343" s="64">
        <f>AH343*6191.24/J343</f>
        <v>7318.0723663793106</v>
      </c>
      <c r="AH343" s="64">
        <f t="shared" si="49"/>
        <v>658.14</v>
      </c>
      <c r="AS343" s="64" t="e">
        <f t="shared" si="50"/>
        <v>#N/A</v>
      </c>
    </row>
    <row r="344" spans="1:45" s="64" customFormat="1" ht="36" customHeight="1" x14ac:dyDescent="0.9">
      <c r="A344" s="64">
        <v>1</v>
      </c>
      <c r="B344" s="92">
        <f>SUBTOTAL(103,$A$16:A344)</f>
        <v>312</v>
      </c>
      <c r="C344" s="91" t="s">
        <v>1248</v>
      </c>
      <c r="D344" s="126">
        <v>1967</v>
      </c>
      <c r="E344" s="126"/>
      <c r="F344" s="145" t="s">
        <v>273</v>
      </c>
      <c r="G344" s="126">
        <v>2</v>
      </c>
      <c r="H344" s="126">
        <v>2</v>
      </c>
      <c r="I344" s="118">
        <v>491.2</v>
      </c>
      <c r="J344" s="118">
        <v>435.7</v>
      </c>
      <c r="K344" s="118">
        <v>435.7</v>
      </c>
      <c r="L344" s="127">
        <v>18</v>
      </c>
      <c r="M344" s="126" t="s">
        <v>271</v>
      </c>
      <c r="N344" s="126" t="s">
        <v>272</v>
      </c>
      <c r="O344" s="124" t="s">
        <v>274</v>
      </c>
      <c r="P344" s="118">
        <v>1290357.97</v>
      </c>
      <c r="Q344" s="118">
        <v>0</v>
      </c>
      <c r="R344" s="118">
        <v>0</v>
      </c>
      <c r="S344" s="118">
        <f>P344-Q344-R344</f>
        <v>1290357.97</v>
      </c>
      <c r="T344" s="118">
        <f t="shared" si="45"/>
        <v>2626.9502646579804</v>
      </c>
      <c r="U344" s="118">
        <f>AG344</f>
        <v>7062.3049804911634</v>
      </c>
      <c r="V344" s="183">
        <f t="shared" si="46"/>
        <v>4435.354715833183</v>
      </c>
      <c r="W344" s="183"/>
      <c r="X344" s="183"/>
      <c r="Y344" s="64" t="e">
        <f t="shared" si="47"/>
        <v>#N/A</v>
      </c>
      <c r="AA344" s="64" t="e">
        <f t="shared" si="48"/>
        <v>#N/A</v>
      </c>
      <c r="AC344" s="64" t="s">
        <v>469</v>
      </c>
      <c r="AD344" s="64">
        <v>604</v>
      </c>
      <c r="AG344" s="64">
        <f>AH344*6191.24/J344</f>
        <v>7062.3049804911634</v>
      </c>
      <c r="AH344" s="64">
        <f t="shared" si="49"/>
        <v>497</v>
      </c>
      <c r="AS344" s="64" t="e">
        <f t="shared" si="50"/>
        <v>#N/A</v>
      </c>
    </row>
    <row r="345" spans="1:45" s="64" customFormat="1" ht="36" customHeight="1" x14ac:dyDescent="0.9">
      <c r="B345" s="91" t="s">
        <v>852</v>
      </c>
      <c r="C345" s="173"/>
      <c r="D345" s="126" t="s">
        <v>916</v>
      </c>
      <c r="E345" s="126" t="s">
        <v>916</v>
      </c>
      <c r="F345" s="126" t="s">
        <v>916</v>
      </c>
      <c r="G345" s="126" t="s">
        <v>916</v>
      </c>
      <c r="H345" s="126" t="s">
        <v>916</v>
      </c>
      <c r="I345" s="117">
        <f>SUM(I346:I347)</f>
        <v>1746.5</v>
      </c>
      <c r="J345" s="117">
        <f>SUM(J346:J347)</f>
        <v>1598.5</v>
      </c>
      <c r="K345" s="117">
        <f>SUM(K346:K347)</f>
        <v>1405.9</v>
      </c>
      <c r="L345" s="127">
        <f>SUM(L346:L347)</f>
        <v>90</v>
      </c>
      <c r="M345" s="126" t="s">
        <v>916</v>
      </c>
      <c r="N345" s="126" t="s">
        <v>916</v>
      </c>
      <c r="O345" s="124" t="s">
        <v>916</v>
      </c>
      <c r="P345" s="118">
        <v>7838189.9699999997</v>
      </c>
      <c r="Q345" s="118">
        <f>SUM(Q346:Q347)</f>
        <v>0</v>
      </c>
      <c r="R345" s="118">
        <f>SUM(R346:R347)</f>
        <v>0</v>
      </c>
      <c r="S345" s="118">
        <f>SUM(S346:S347)</f>
        <v>7838189.9699999997</v>
      </c>
      <c r="T345" s="118">
        <f t="shared" si="45"/>
        <v>4487.9415803034635</v>
      </c>
      <c r="U345" s="118">
        <f>T345</f>
        <v>4487.9415803034635</v>
      </c>
      <c r="V345" s="183">
        <f t="shared" si="46"/>
        <v>0</v>
      </c>
      <c r="W345" s="183"/>
      <c r="X345" s="183"/>
      <c r="Y345" s="64" t="e">
        <f t="shared" si="47"/>
        <v>#N/A</v>
      </c>
      <c r="AA345" s="64" t="e">
        <f t="shared" si="48"/>
        <v>#N/A</v>
      </c>
      <c r="AC345" s="64" t="s">
        <v>470</v>
      </c>
      <c r="AD345" s="64">
        <v>604</v>
      </c>
      <c r="AH345" s="64" t="e">
        <f t="shared" si="49"/>
        <v>#N/A</v>
      </c>
      <c r="AS345" s="64" t="e">
        <f t="shared" si="50"/>
        <v>#N/A</v>
      </c>
    </row>
    <row r="346" spans="1:45" s="64" customFormat="1" ht="36" customHeight="1" x14ac:dyDescent="0.9">
      <c r="A346" s="64">
        <v>1</v>
      </c>
      <c r="B346" s="92">
        <f>SUBTOTAL(103,$A$16:A346)</f>
        <v>313</v>
      </c>
      <c r="C346" s="93" t="s">
        <v>0</v>
      </c>
      <c r="D346" s="126">
        <v>1975</v>
      </c>
      <c r="E346" s="126"/>
      <c r="F346" s="145" t="s">
        <v>273</v>
      </c>
      <c r="G346" s="126">
        <v>2</v>
      </c>
      <c r="H346" s="126">
        <v>2</v>
      </c>
      <c r="I346" s="118">
        <v>795.9</v>
      </c>
      <c r="J346" s="118">
        <v>735.5</v>
      </c>
      <c r="K346" s="118">
        <v>680.2</v>
      </c>
      <c r="L346" s="127">
        <v>37</v>
      </c>
      <c r="M346" s="126" t="s">
        <v>271</v>
      </c>
      <c r="N346" s="126" t="s">
        <v>272</v>
      </c>
      <c r="O346" s="124" t="s">
        <v>274</v>
      </c>
      <c r="P346" s="118">
        <v>3718130.24</v>
      </c>
      <c r="Q346" s="118">
        <v>0</v>
      </c>
      <c r="R346" s="118">
        <v>0</v>
      </c>
      <c r="S346" s="118">
        <f>P346-Q346-R346</f>
        <v>3718130.24</v>
      </c>
      <c r="T346" s="118">
        <f t="shared" si="45"/>
        <v>4671.604774469155</v>
      </c>
      <c r="U346" s="118">
        <f>T346</f>
        <v>4671.604774469155</v>
      </c>
      <c r="V346" s="183">
        <f t="shared" si="46"/>
        <v>0</v>
      </c>
      <c r="W346" s="183"/>
      <c r="X346" s="183"/>
      <c r="Y346" s="64">
        <f t="shared" si="47"/>
        <v>4055.2765171503961</v>
      </c>
      <c r="AA346" s="64">
        <f t="shared" si="48"/>
        <v>618.1</v>
      </c>
      <c r="AC346" s="64" t="s">
        <v>471</v>
      </c>
      <c r="AD346" s="64">
        <v>723.24</v>
      </c>
      <c r="AH346" s="64" t="e">
        <f t="shared" si="49"/>
        <v>#N/A</v>
      </c>
      <c r="AS346" s="64" t="e">
        <f t="shared" si="50"/>
        <v>#N/A</v>
      </c>
    </row>
    <row r="347" spans="1:45" s="64" customFormat="1" ht="36" customHeight="1" x14ac:dyDescent="0.9">
      <c r="A347" s="64">
        <v>1</v>
      </c>
      <c r="B347" s="92">
        <f>SUBTOTAL(103,$A$16:A347)</f>
        <v>314</v>
      </c>
      <c r="C347" s="91" t="s">
        <v>5</v>
      </c>
      <c r="D347" s="126">
        <v>1979</v>
      </c>
      <c r="E347" s="126"/>
      <c r="F347" s="145" t="s">
        <v>273</v>
      </c>
      <c r="G347" s="126">
        <v>2</v>
      </c>
      <c r="H347" s="126">
        <v>3</v>
      </c>
      <c r="I347" s="118">
        <v>950.6</v>
      </c>
      <c r="J347" s="118">
        <v>863</v>
      </c>
      <c r="K347" s="118">
        <v>725.7</v>
      </c>
      <c r="L347" s="127">
        <v>53</v>
      </c>
      <c r="M347" s="126" t="s">
        <v>271</v>
      </c>
      <c r="N347" s="126" t="s">
        <v>272</v>
      </c>
      <c r="O347" s="124" t="s">
        <v>274</v>
      </c>
      <c r="P347" s="118">
        <v>4120059.7299999995</v>
      </c>
      <c r="Q347" s="118">
        <v>0</v>
      </c>
      <c r="R347" s="118">
        <v>0</v>
      </c>
      <c r="S347" s="118">
        <f>P347-Q347-R347</f>
        <v>4120059.7299999995</v>
      </c>
      <c r="T347" s="118">
        <f t="shared" si="45"/>
        <v>4334.1676099305696</v>
      </c>
      <c r="U347" s="118">
        <f>T347</f>
        <v>4334.1676099305696</v>
      </c>
      <c r="V347" s="183">
        <f t="shared" si="46"/>
        <v>0</v>
      </c>
      <c r="W347" s="183"/>
      <c r="X347" s="183"/>
      <c r="Y347" s="64">
        <f t="shared" si="47"/>
        <v>3966.8321607405851</v>
      </c>
      <c r="AA347" s="64">
        <f t="shared" si="48"/>
        <v>722.14</v>
      </c>
      <c r="AC347" s="64" t="s">
        <v>476</v>
      </c>
      <c r="AD347" s="64">
        <v>3073.45</v>
      </c>
      <c r="AH347" s="64" t="e">
        <f t="shared" si="49"/>
        <v>#N/A</v>
      </c>
      <c r="AS347" s="64" t="e">
        <f t="shared" si="50"/>
        <v>#N/A</v>
      </c>
    </row>
    <row r="348" spans="1:45" s="64" customFormat="1" ht="36" customHeight="1" x14ac:dyDescent="0.9">
      <c r="B348" s="91" t="s">
        <v>853</v>
      </c>
      <c r="C348" s="172"/>
      <c r="D348" s="126" t="s">
        <v>916</v>
      </c>
      <c r="E348" s="126" t="s">
        <v>916</v>
      </c>
      <c r="F348" s="126" t="s">
        <v>916</v>
      </c>
      <c r="G348" s="126" t="s">
        <v>916</v>
      </c>
      <c r="H348" s="126" t="s">
        <v>916</v>
      </c>
      <c r="I348" s="117">
        <f>SUM(I349:I351)</f>
        <v>5687.8</v>
      </c>
      <c r="J348" s="117">
        <f>SUM(J349:J351)</f>
        <v>4407.8999999999996</v>
      </c>
      <c r="K348" s="117">
        <f>SUM(K349:K351)</f>
        <v>2836.1</v>
      </c>
      <c r="L348" s="127">
        <f>SUM(L349:L351)</f>
        <v>224</v>
      </c>
      <c r="M348" s="126" t="s">
        <v>916</v>
      </c>
      <c r="N348" s="126" t="s">
        <v>916</v>
      </c>
      <c r="O348" s="124" t="s">
        <v>916</v>
      </c>
      <c r="P348" s="117">
        <v>8690043.9199999999</v>
      </c>
      <c r="Q348" s="117">
        <f>SUM(Q349:Q351)</f>
        <v>0</v>
      </c>
      <c r="R348" s="117">
        <f>SUM(R349:R351)</f>
        <v>0</v>
      </c>
      <c r="S348" s="117">
        <f>SUM(S349:S351)</f>
        <v>8690043.9199999999</v>
      </c>
      <c r="T348" s="118">
        <f t="shared" si="45"/>
        <v>1527.8392207883539</v>
      </c>
      <c r="U348" s="118">
        <f>MAX(U349:U351)</f>
        <v>4969.3744911504427</v>
      </c>
      <c r="V348" s="183">
        <f t="shared" si="46"/>
        <v>3441.5352703620888</v>
      </c>
      <c r="W348" s="183"/>
      <c r="X348" s="183"/>
      <c r="Y348" s="64" t="e">
        <f t="shared" si="47"/>
        <v>#N/A</v>
      </c>
      <c r="AA348" s="64" t="e">
        <f t="shared" si="48"/>
        <v>#N/A</v>
      </c>
      <c r="AC348" s="64" t="s">
        <v>455</v>
      </c>
      <c r="AD348" s="64">
        <v>528.5</v>
      </c>
      <c r="AH348" s="64" t="e">
        <f t="shared" si="49"/>
        <v>#N/A</v>
      </c>
      <c r="AS348" s="64" t="e">
        <f t="shared" si="50"/>
        <v>#N/A</v>
      </c>
    </row>
    <row r="349" spans="1:45" s="64" customFormat="1" ht="36" customHeight="1" x14ac:dyDescent="0.9">
      <c r="A349" s="64">
        <v>1</v>
      </c>
      <c r="B349" s="92">
        <f>SUBTOTAL(103,$A$16:A349)</f>
        <v>315</v>
      </c>
      <c r="C349" s="91" t="s">
        <v>716</v>
      </c>
      <c r="D349" s="126">
        <v>1928</v>
      </c>
      <c r="E349" s="126"/>
      <c r="F349" s="145" t="s">
        <v>338</v>
      </c>
      <c r="G349" s="126" t="s">
        <v>311</v>
      </c>
      <c r="H349" s="126" t="s">
        <v>312</v>
      </c>
      <c r="I349" s="118">
        <v>253.1</v>
      </c>
      <c r="J349" s="118">
        <v>231.8</v>
      </c>
      <c r="K349" s="118">
        <v>185.3</v>
      </c>
      <c r="L349" s="127">
        <v>14</v>
      </c>
      <c r="M349" s="126" t="s">
        <v>271</v>
      </c>
      <c r="N349" s="126" t="s">
        <v>275</v>
      </c>
      <c r="O349" s="124" t="s">
        <v>750</v>
      </c>
      <c r="P349" s="118">
        <v>57509.34</v>
      </c>
      <c r="Q349" s="118">
        <v>0</v>
      </c>
      <c r="R349" s="118">
        <v>0</v>
      </c>
      <c r="S349" s="118">
        <f>P349-Q349-R349</f>
        <v>57509.34</v>
      </c>
      <c r="T349" s="118">
        <f t="shared" si="45"/>
        <v>227.21983405768469</v>
      </c>
      <c r="U349" s="118">
        <f>T349</f>
        <v>227.21983405768469</v>
      </c>
      <c r="V349" s="183">
        <f t="shared" si="46"/>
        <v>0</v>
      </c>
      <c r="W349" s="183"/>
      <c r="X349" s="183"/>
      <c r="Y349" s="64" t="e">
        <f t="shared" si="47"/>
        <v>#N/A</v>
      </c>
      <c r="AA349" s="64" t="e">
        <f t="shared" si="48"/>
        <v>#N/A</v>
      </c>
      <c r="AC349" s="64" t="s">
        <v>456</v>
      </c>
      <c r="AD349" s="64">
        <v>850</v>
      </c>
      <c r="AH349" s="64" t="e">
        <f t="shared" si="49"/>
        <v>#N/A</v>
      </c>
      <c r="AS349" s="64" t="e">
        <f t="shared" si="50"/>
        <v>#N/A</v>
      </c>
    </row>
    <row r="350" spans="1:45" s="64" customFormat="1" ht="36" customHeight="1" x14ac:dyDescent="0.9">
      <c r="A350" s="64">
        <v>1</v>
      </c>
      <c r="B350" s="92">
        <f>SUBTOTAL(103,$A$16:A350)</f>
        <v>316</v>
      </c>
      <c r="C350" s="91" t="s">
        <v>1250</v>
      </c>
      <c r="D350" s="126">
        <v>1972</v>
      </c>
      <c r="E350" s="126">
        <v>2010</v>
      </c>
      <c r="F350" s="145" t="s">
        <v>273</v>
      </c>
      <c r="G350" s="126">
        <v>5</v>
      </c>
      <c r="H350" s="126">
        <v>3</v>
      </c>
      <c r="I350" s="118">
        <v>4982.7</v>
      </c>
      <c r="J350" s="118">
        <v>3759.2</v>
      </c>
      <c r="K350" s="118">
        <v>2276.1</v>
      </c>
      <c r="L350" s="127">
        <v>197</v>
      </c>
      <c r="M350" s="126" t="s">
        <v>271</v>
      </c>
      <c r="N350" s="126" t="s">
        <v>275</v>
      </c>
      <c r="O350" s="124" t="s">
        <v>750</v>
      </c>
      <c r="P350" s="118">
        <v>6732882.5500000007</v>
      </c>
      <c r="Q350" s="118">
        <v>0</v>
      </c>
      <c r="R350" s="118">
        <v>0</v>
      </c>
      <c r="S350" s="118">
        <f>P350-Q350-R350</f>
        <v>6732882.5500000007</v>
      </c>
      <c r="T350" s="118">
        <f t="shared" si="45"/>
        <v>1351.2518413711443</v>
      </c>
      <c r="U350" s="118">
        <v>2753.19</v>
      </c>
      <c r="V350" s="183">
        <f t="shared" si="46"/>
        <v>1401.9381586288557</v>
      </c>
      <c r="W350" s="183"/>
      <c r="X350" s="183"/>
      <c r="Y350" s="64" t="e">
        <f t="shared" si="47"/>
        <v>#N/A</v>
      </c>
      <c r="AA350" s="64" t="e">
        <f t="shared" si="48"/>
        <v>#N/A</v>
      </c>
      <c r="AC350" s="64" t="s">
        <v>1318</v>
      </c>
      <c r="AD350" s="64">
        <v>716.68</v>
      </c>
      <c r="AH350" s="64" t="e">
        <f t="shared" si="49"/>
        <v>#N/A</v>
      </c>
      <c r="AS350" s="64" t="e">
        <f t="shared" si="50"/>
        <v>#N/A</v>
      </c>
    </row>
    <row r="351" spans="1:45" s="64" customFormat="1" ht="36" customHeight="1" x14ac:dyDescent="0.9">
      <c r="A351" s="64">
        <v>1</v>
      </c>
      <c r="B351" s="92">
        <f>SUBTOTAL(103,$A$16:A351)</f>
        <v>317</v>
      </c>
      <c r="C351" s="91" t="s">
        <v>1622</v>
      </c>
      <c r="D351" s="126">
        <v>1985</v>
      </c>
      <c r="E351" s="126"/>
      <c r="F351" s="145" t="s">
        <v>273</v>
      </c>
      <c r="G351" s="126">
        <v>2</v>
      </c>
      <c r="H351" s="126">
        <v>1</v>
      </c>
      <c r="I351" s="118">
        <v>452</v>
      </c>
      <c r="J351" s="118">
        <v>416.9</v>
      </c>
      <c r="K351" s="118">
        <f>J351-42.2</f>
        <v>374.7</v>
      </c>
      <c r="L351" s="127">
        <v>13</v>
      </c>
      <c r="M351" s="126" t="s">
        <v>271</v>
      </c>
      <c r="N351" s="126" t="s">
        <v>275</v>
      </c>
      <c r="O351" s="124" t="s">
        <v>1631</v>
      </c>
      <c r="P351" s="118">
        <v>1899652.0299999998</v>
      </c>
      <c r="Q351" s="118">
        <v>0</v>
      </c>
      <c r="R351" s="118">
        <v>0</v>
      </c>
      <c r="S351" s="118">
        <f>P351-R351-Q351</f>
        <v>1899652.0299999998</v>
      </c>
      <c r="T351" s="118">
        <f t="shared" si="45"/>
        <v>4202.7699778761062</v>
      </c>
      <c r="U351" s="118">
        <f>Y351</f>
        <v>4969.3744911504427</v>
      </c>
      <c r="V351" s="183">
        <f t="shared" si="46"/>
        <v>766.60451327433657</v>
      </c>
      <c r="W351" s="183"/>
      <c r="X351" s="183"/>
      <c r="Y351" s="64">
        <f t="shared" si="47"/>
        <v>4969.3744911504427</v>
      </c>
      <c r="AA351" s="64">
        <f t="shared" si="48"/>
        <v>430.15</v>
      </c>
      <c r="AC351" s="64" t="s">
        <v>474</v>
      </c>
      <c r="AD351" s="64">
        <v>724</v>
      </c>
      <c r="AH351" s="64" t="e">
        <f t="shared" si="49"/>
        <v>#N/A</v>
      </c>
      <c r="AS351" s="64" t="e">
        <f t="shared" si="50"/>
        <v>#N/A</v>
      </c>
    </row>
    <row r="352" spans="1:45" s="64" customFormat="1" ht="36" customHeight="1" x14ac:dyDescent="0.9">
      <c r="B352" s="91" t="s">
        <v>854</v>
      </c>
      <c r="C352" s="91"/>
      <c r="D352" s="126" t="s">
        <v>916</v>
      </c>
      <c r="E352" s="126" t="s">
        <v>916</v>
      </c>
      <c r="F352" s="126" t="s">
        <v>916</v>
      </c>
      <c r="G352" s="126" t="s">
        <v>916</v>
      </c>
      <c r="H352" s="126" t="s">
        <v>916</v>
      </c>
      <c r="I352" s="117">
        <f>SUM(I353:I355)</f>
        <v>12399.000000000002</v>
      </c>
      <c r="J352" s="117">
        <f>SUM(J353:J355)</f>
        <v>10511.4</v>
      </c>
      <c r="K352" s="117">
        <f>SUM(K353:K355)</f>
        <v>8974.0999999999985</v>
      </c>
      <c r="L352" s="127">
        <f>SUM(L353:L355)</f>
        <v>454</v>
      </c>
      <c r="M352" s="126" t="s">
        <v>916</v>
      </c>
      <c r="N352" s="126" t="s">
        <v>916</v>
      </c>
      <c r="O352" s="124" t="s">
        <v>916</v>
      </c>
      <c r="P352" s="117">
        <v>12110136.890000001</v>
      </c>
      <c r="Q352" s="117">
        <f>SUM(Q353:Q355)</f>
        <v>0</v>
      </c>
      <c r="R352" s="117">
        <f>SUM(R353:R355)</f>
        <v>0</v>
      </c>
      <c r="S352" s="117">
        <f>SUM(S353:S355)</f>
        <v>12110136.890000001</v>
      </c>
      <c r="T352" s="118">
        <f t="shared" si="45"/>
        <v>976.70270908944258</v>
      </c>
      <c r="U352" s="118">
        <f>MAX(U353:U355)</f>
        <v>2928.86</v>
      </c>
      <c r="V352" s="183">
        <f t="shared" si="46"/>
        <v>1952.1572909105575</v>
      </c>
      <c r="W352" s="183"/>
      <c r="X352" s="183"/>
      <c r="Y352" s="64" t="e">
        <f t="shared" si="47"/>
        <v>#N/A</v>
      </c>
      <c r="AA352" s="64" t="e">
        <f t="shared" si="48"/>
        <v>#N/A</v>
      </c>
      <c r="AC352" s="64" t="s">
        <v>1676</v>
      </c>
      <c r="AD352" s="64">
        <v>627.6</v>
      </c>
      <c r="AH352" s="64" t="e">
        <f t="shared" si="49"/>
        <v>#N/A</v>
      </c>
      <c r="AS352" s="64" t="e">
        <f t="shared" si="50"/>
        <v>#N/A</v>
      </c>
    </row>
    <row r="353" spans="1:45" s="64" customFormat="1" ht="36" customHeight="1" x14ac:dyDescent="0.9">
      <c r="A353" s="64">
        <v>1</v>
      </c>
      <c r="B353" s="92">
        <f>SUBTOTAL(103,$A$16:A353)</f>
        <v>318</v>
      </c>
      <c r="C353" s="91" t="s">
        <v>722</v>
      </c>
      <c r="D353" s="126">
        <v>1976</v>
      </c>
      <c r="E353" s="126">
        <v>2007</v>
      </c>
      <c r="F353" s="145" t="s">
        <v>319</v>
      </c>
      <c r="G353" s="126">
        <v>5</v>
      </c>
      <c r="H353" s="126">
        <v>6</v>
      </c>
      <c r="I353" s="118">
        <v>5095.72</v>
      </c>
      <c r="J353" s="118">
        <v>4603.3999999999996</v>
      </c>
      <c r="K353" s="118">
        <v>4603.3999999999996</v>
      </c>
      <c r="L353" s="127">
        <v>160</v>
      </c>
      <c r="M353" s="126" t="s">
        <v>271</v>
      </c>
      <c r="N353" s="126" t="s">
        <v>275</v>
      </c>
      <c r="O353" s="124" t="s">
        <v>751</v>
      </c>
      <c r="P353" s="118">
        <v>3971480.2600000002</v>
      </c>
      <c r="Q353" s="118">
        <v>0</v>
      </c>
      <c r="R353" s="118">
        <v>0</v>
      </c>
      <c r="S353" s="118">
        <f>P353-Q353-R353</f>
        <v>3971480.2600000002</v>
      </c>
      <c r="T353" s="118">
        <f t="shared" si="45"/>
        <v>779.37568390727904</v>
      </c>
      <c r="U353" s="118">
        <f>Y353</f>
        <v>1271.7052349815137</v>
      </c>
      <c r="V353" s="183">
        <f t="shared" si="46"/>
        <v>492.3295510742347</v>
      </c>
      <c r="W353" s="183"/>
      <c r="X353" s="183"/>
      <c r="Y353" s="64">
        <f t="shared" si="47"/>
        <v>1271.7052349815137</v>
      </c>
      <c r="AA353" s="64">
        <f t="shared" si="48"/>
        <v>1241</v>
      </c>
      <c r="AC353" s="64" t="s">
        <v>1677</v>
      </c>
      <c r="AD353" s="64">
        <v>277.89999999999998</v>
      </c>
      <c r="AH353" s="64" t="e">
        <f t="shared" si="49"/>
        <v>#N/A</v>
      </c>
      <c r="AS353" s="64" t="e">
        <f t="shared" si="50"/>
        <v>#N/A</v>
      </c>
    </row>
    <row r="354" spans="1:45" s="64" customFormat="1" ht="36" customHeight="1" x14ac:dyDescent="0.9">
      <c r="A354" s="64">
        <v>1</v>
      </c>
      <c r="B354" s="92">
        <f>SUBTOTAL(103,$A$16:A354)</f>
        <v>319</v>
      </c>
      <c r="C354" s="91" t="s">
        <v>1251</v>
      </c>
      <c r="D354" s="126">
        <v>1975</v>
      </c>
      <c r="E354" s="126">
        <v>2015</v>
      </c>
      <c r="F354" s="145" t="s">
        <v>273</v>
      </c>
      <c r="G354" s="126">
        <v>3</v>
      </c>
      <c r="H354" s="126">
        <v>2</v>
      </c>
      <c r="I354" s="118">
        <v>3932</v>
      </c>
      <c r="J354" s="118">
        <v>2816.3</v>
      </c>
      <c r="K354" s="118">
        <v>1279</v>
      </c>
      <c r="L354" s="127">
        <v>138</v>
      </c>
      <c r="M354" s="126" t="s">
        <v>271</v>
      </c>
      <c r="N354" s="126" t="s">
        <v>275</v>
      </c>
      <c r="O354" s="124" t="s">
        <v>750</v>
      </c>
      <c r="P354" s="118">
        <v>4498305.8900000006</v>
      </c>
      <c r="Q354" s="118">
        <v>0</v>
      </c>
      <c r="R354" s="118">
        <v>0</v>
      </c>
      <c r="S354" s="118">
        <f>P354-Q354-R354</f>
        <v>4498305.8900000006</v>
      </c>
      <c r="T354" s="118">
        <f t="shared" si="45"/>
        <v>1144.0248957273654</v>
      </c>
      <c r="U354" s="118">
        <v>2928.86</v>
      </c>
      <c r="V354" s="183">
        <f t="shared" si="46"/>
        <v>1784.8351042726347</v>
      </c>
      <c r="W354" s="183"/>
      <c r="X354" s="183"/>
      <c r="Y354" s="64" t="e">
        <f t="shared" si="47"/>
        <v>#N/A</v>
      </c>
      <c r="AA354" s="64" t="e">
        <f t="shared" si="48"/>
        <v>#N/A</v>
      </c>
      <c r="AC354" s="64" t="s">
        <v>1678</v>
      </c>
      <c r="AD354" s="64">
        <v>544.9</v>
      </c>
      <c r="AH354" s="64" t="e">
        <f t="shared" si="49"/>
        <v>#N/A</v>
      </c>
      <c r="AS354" s="64" t="e">
        <f t="shared" si="50"/>
        <v>#N/A</v>
      </c>
    </row>
    <row r="355" spans="1:45" s="64" customFormat="1" ht="36" customHeight="1" x14ac:dyDescent="0.9">
      <c r="A355" s="64">
        <v>1</v>
      </c>
      <c r="B355" s="92">
        <f>SUBTOTAL(103,$A$16:A355)</f>
        <v>320</v>
      </c>
      <c r="C355" s="91" t="s">
        <v>1605</v>
      </c>
      <c r="D355" s="112">
        <v>1978</v>
      </c>
      <c r="E355" s="112"/>
      <c r="F355" s="146" t="s">
        <v>326</v>
      </c>
      <c r="G355" s="112">
        <v>5</v>
      </c>
      <c r="H355" s="112">
        <v>4</v>
      </c>
      <c r="I355" s="114">
        <v>3371.28</v>
      </c>
      <c r="J355" s="114">
        <v>3091.7</v>
      </c>
      <c r="K355" s="114">
        <v>3091.7</v>
      </c>
      <c r="L355" s="115">
        <v>156</v>
      </c>
      <c r="M355" s="112" t="s">
        <v>271</v>
      </c>
      <c r="N355" s="112" t="s">
        <v>275</v>
      </c>
      <c r="O355" s="113" t="s">
        <v>1632</v>
      </c>
      <c r="P355" s="118">
        <v>3640350.74</v>
      </c>
      <c r="Q355" s="118">
        <v>0</v>
      </c>
      <c r="R355" s="118">
        <v>0</v>
      </c>
      <c r="S355" s="118">
        <f>P355-R355-Q355</f>
        <v>3640350.74</v>
      </c>
      <c r="T355" s="118">
        <f t="shared" si="45"/>
        <v>1079.8126349635747</v>
      </c>
      <c r="U355" s="118">
        <f>Y355</f>
        <v>1181.5064426567949</v>
      </c>
      <c r="V355" s="183">
        <f t="shared" si="46"/>
        <v>101.69380769322015</v>
      </c>
      <c r="W355" s="183"/>
      <c r="X355" s="183"/>
      <c r="Y355" s="64">
        <f t="shared" si="47"/>
        <v>1181.5064426567949</v>
      </c>
      <c r="AA355" s="64">
        <f t="shared" si="48"/>
        <v>762.8</v>
      </c>
      <c r="AC355" s="64" t="s">
        <v>1679</v>
      </c>
      <c r="AD355" s="64">
        <v>337</v>
      </c>
      <c r="AH355" s="64" t="e">
        <f t="shared" si="49"/>
        <v>#N/A</v>
      </c>
      <c r="AS355" s="64" t="e">
        <f t="shared" si="50"/>
        <v>#N/A</v>
      </c>
    </row>
    <row r="356" spans="1:45" s="64" customFormat="1" ht="36" customHeight="1" x14ac:dyDescent="0.9">
      <c r="B356" s="91" t="s">
        <v>855</v>
      </c>
      <c r="C356" s="91"/>
      <c r="D356" s="126" t="s">
        <v>916</v>
      </c>
      <c r="E356" s="126" t="s">
        <v>916</v>
      </c>
      <c r="F356" s="126" t="s">
        <v>916</v>
      </c>
      <c r="G356" s="126" t="s">
        <v>916</v>
      </c>
      <c r="H356" s="126" t="s">
        <v>916</v>
      </c>
      <c r="I356" s="117">
        <f>I357</f>
        <v>846.4</v>
      </c>
      <c r="J356" s="117">
        <f>J357</f>
        <v>794.7</v>
      </c>
      <c r="K356" s="117">
        <f>K357</f>
        <v>794.7</v>
      </c>
      <c r="L356" s="127">
        <f>L357</f>
        <v>26</v>
      </c>
      <c r="M356" s="126" t="s">
        <v>916</v>
      </c>
      <c r="N356" s="126" t="s">
        <v>916</v>
      </c>
      <c r="O356" s="124" t="s">
        <v>916</v>
      </c>
      <c r="P356" s="118">
        <v>5698132.5200000005</v>
      </c>
      <c r="Q356" s="118">
        <f>Q357</f>
        <v>0</v>
      </c>
      <c r="R356" s="118">
        <f>R357</f>
        <v>0</v>
      </c>
      <c r="S356" s="118">
        <f>S357</f>
        <v>5698132.5200000005</v>
      </c>
      <c r="T356" s="118">
        <f t="shared" si="45"/>
        <v>6732.1981568998117</v>
      </c>
      <c r="U356" s="118">
        <f>U357</f>
        <v>7643.8273359268387</v>
      </c>
      <c r="V356" s="183">
        <f t="shared" si="46"/>
        <v>911.62917902702702</v>
      </c>
      <c r="W356" s="183"/>
      <c r="X356" s="183"/>
      <c r="Y356" s="64" t="e">
        <f t="shared" si="47"/>
        <v>#N/A</v>
      </c>
      <c r="AA356" s="64" t="e">
        <f t="shared" si="48"/>
        <v>#N/A</v>
      </c>
      <c r="AC356" s="64" t="s">
        <v>411</v>
      </c>
      <c r="AD356" s="64">
        <v>1397</v>
      </c>
      <c r="AH356" s="64" t="e">
        <f t="shared" si="49"/>
        <v>#N/A</v>
      </c>
      <c r="AS356" s="64" t="e">
        <f t="shared" si="50"/>
        <v>#N/A</v>
      </c>
    </row>
    <row r="357" spans="1:45" s="64" customFormat="1" ht="36" customHeight="1" x14ac:dyDescent="0.9">
      <c r="A357" s="64">
        <v>1</v>
      </c>
      <c r="B357" s="92">
        <f>SUBTOTAL(103,$A$16:A357)</f>
        <v>321</v>
      </c>
      <c r="C357" s="91" t="s">
        <v>820</v>
      </c>
      <c r="D357" s="126">
        <v>1981</v>
      </c>
      <c r="E357" s="126"/>
      <c r="F357" s="145" t="s">
        <v>273</v>
      </c>
      <c r="G357" s="126">
        <v>2</v>
      </c>
      <c r="H357" s="126">
        <v>2</v>
      </c>
      <c r="I357" s="118">
        <v>846.4</v>
      </c>
      <c r="J357" s="118">
        <v>794.7</v>
      </c>
      <c r="K357" s="118">
        <v>794.7</v>
      </c>
      <c r="L357" s="127">
        <v>26</v>
      </c>
      <c r="M357" s="126" t="s">
        <v>271</v>
      </c>
      <c r="N357" s="126" t="s">
        <v>275</v>
      </c>
      <c r="O357" s="124" t="s">
        <v>750</v>
      </c>
      <c r="P357" s="118">
        <v>5698132.5200000005</v>
      </c>
      <c r="Q357" s="118">
        <v>0</v>
      </c>
      <c r="R357" s="118">
        <v>0</v>
      </c>
      <c r="S357" s="118">
        <f>P357-Q357-R357</f>
        <v>5698132.5200000005</v>
      </c>
      <c r="T357" s="118">
        <f t="shared" si="45"/>
        <v>6732.1981568998117</v>
      </c>
      <c r="U357" s="118">
        <f>Y357+AG357</f>
        <v>7643.8273359268387</v>
      </c>
      <c r="V357" s="183">
        <f t="shared" si="46"/>
        <v>911.62917902702702</v>
      </c>
      <c r="W357" s="183"/>
      <c r="X357" s="183"/>
      <c r="Y357" s="64">
        <f t="shared" si="47"/>
        <v>2930.4761342155011</v>
      </c>
      <c r="AA357" s="64">
        <f t="shared" si="48"/>
        <v>475</v>
      </c>
      <c r="AC357" s="64" t="s">
        <v>413</v>
      </c>
      <c r="AD357" s="64">
        <v>918</v>
      </c>
      <c r="AG357" s="64">
        <f>AH357*6191.24/J357</f>
        <v>4713.3512017113371</v>
      </c>
      <c r="AH357" s="64">
        <f t="shared" si="49"/>
        <v>605</v>
      </c>
      <c r="AS357" s="64" t="e">
        <f t="shared" si="50"/>
        <v>#N/A</v>
      </c>
    </row>
    <row r="358" spans="1:45" s="64" customFormat="1" ht="36" customHeight="1" x14ac:dyDescent="0.9">
      <c r="B358" s="91" t="s">
        <v>856</v>
      </c>
      <c r="C358" s="172"/>
      <c r="D358" s="126" t="s">
        <v>916</v>
      </c>
      <c r="E358" s="126" t="s">
        <v>916</v>
      </c>
      <c r="F358" s="126" t="s">
        <v>916</v>
      </c>
      <c r="G358" s="126" t="s">
        <v>916</v>
      </c>
      <c r="H358" s="126" t="s">
        <v>916</v>
      </c>
      <c r="I358" s="117">
        <f>SUM(I359:I373)</f>
        <v>47247.65</v>
      </c>
      <c r="J358" s="117">
        <f>SUM(J359:J373)</f>
        <v>36559.94</v>
      </c>
      <c r="K358" s="117">
        <f>SUM(K359:K373)</f>
        <v>35483.350000000006</v>
      </c>
      <c r="L358" s="127">
        <f>SUM(L359:L373)</f>
        <v>1628</v>
      </c>
      <c r="M358" s="126" t="s">
        <v>916</v>
      </c>
      <c r="N358" s="126" t="s">
        <v>916</v>
      </c>
      <c r="O358" s="124" t="s">
        <v>916</v>
      </c>
      <c r="P358" s="117">
        <v>56051993.530000001</v>
      </c>
      <c r="Q358" s="117">
        <f>SUM(Q359:Q373)</f>
        <v>0</v>
      </c>
      <c r="R358" s="117">
        <f>SUM(R359:R373)</f>
        <v>0</v>
      </c>
      <c r="S358" s="117">
        <f>SUM(S359:S373)</f>
        <v>56051993.530000001</v>
      </c>
      <c r="T358" s="118">
        <f t="shared" si="45"/>
        <v>1186.3445807357614</v>
      </c>
      <c r="U358" s="118">
        <f>MAX(U359:U373)</f>
        <v>4624.3546416938116</v>
      </c>
      <c r="V358" s="183">
        <f t="shared" si="46"/>
        <v>3438.0100609580504</v>
      </c>
      <c r="W358" s="183"/>
      <c r="X358" s="183"/>
      <c r="Y358" s="64" t="e">
        <f t="shared" si="47"/>
        <v>#N/A</v>
      </c>
      <c r="AA358" s="64" t="e">
        <f t="shared" si="48"/>
        <v>#N/A</v>
      </c>
      <c r="AC358" s="64" t="s">
        <v>414</v>
      </c>
      <c r="AD358" s="64">
        <v>650</v>
      </c>
      <c r="AH358" s="64" t="e">
        <f t="shared" si="49"/>
        <v>#N/A</v>
      </c>
      <c r="AS358" s="64" t="e">
        <f t="shared" si="50"/>
        <v>#N/A</v>
      </c>
    </row>
    <row r="359" spans="1:45" s="64" customFormat="1" ht="36" customHeight="1" x14ac:dyDescent="0.9">
      <c r="A359" s="64">
        <v>1</v>
      </c>
      <c r="B359" s="92">
        <f>SUBTOTAL(103,$A$16:A359)</f>
        <v>322</v>
      </c>
      <c r="C359" s="91" t="s">
        <v>115</v>
      </c>
      <c r="D359" s="126">
        <v>1973</v>
      </c>
      <c r="E359" s="126"/>
      <c r="F359" s="145" t="s">
        <v>273</v>
      </c>
      <c r="G359" s="126">
        <v>2</v>
      </c>
      <c r="H359" s="126">
        <v>2</v>
      </c>
      <c r="I359" s="118">
        <v>781.03</v>
      </c>
      <c r="J359" s="118">
        <v>720.97</v>
      </c>
      <c r="K359" s="118">
        <v>681.23</v>
      </c>
      <c r="L359" s="127">
        <v>38</v>
      </c>
      <c r="M359" s="126" t="s">
        <v>271</v>
      </c>
      <c r="N359" s="126" t="s">
        <v>275</v>
      </c>
      <c r="O359" s="124" t="s">
        <v>290</v>
      </c>
      <c r="P359" s="118">
        <v>3250000</v>
      </c>
      <c r="Q359" s="118">
        <v>0</v>
      </c>
      <c r="R359" s="118">
        <v>0</v>
      </c>
      <c r="S359" s="118">
        <f t="shared" ref="S359:S371" si="51">P359-Q359-R359</f>
        <v>3250000</v>
      </c>
      <c r="T359" s="118">
        <f t="shared" si="45"/>
        <v>4161.1717859749306</v>
      </c>
      <c r="U359" s="118">
        <f t="shared" ref="U359:U364" si="52">Y359</f>
        <v>4446.0481671638736</v>
      </c>
      <c r="V359" s="183">
        <f t="shared" si="46"/>
        <v>284.87638118894301</v>
      </c>
      <c r="W359" s="183"/>
      <c r="X359" s="183"/>
      <c r="Y359" s="64">
        <f t="shared" si="47"/>
        <v>4446.0481671638736</v>
      </c>
      <c r="AA359" s="64">
        <f t="shared" si="48"/>
        <v>665</v>
      </c>
      <c r="AC359" s="64" t="s">
        <v>415</v>
      </c>
      <c r="AD359" s="64">
        <v>620</v>
      </c>
      <c r="AH359" s="64" t="e">
        <f t="shared" si="49"/>
        <v>#N/A</v>
      </c>
      <c r="AS359" s="64" t="e">
        <f t="shared" si="50"/>
        <v>#N/A</v>
      </c>
    </row>
    <row r="360" spans="1:45" s="64" customFormat="1" ht="36" customHeight="1" x14ac:dyDescent="0.9">
      <c r="A360" s="64">
        <v>1</v>
      </c>
      <c r="B360" s="92">
        <f>SUBTOTAL(103,$A$16:A360)</f>
        <v>323</v>
      </c>
      <c r="C360" s="91" t="s">
        <v>118</v>
      </c>
      <c r="D360" s="126">
        <v>1972</v>
      </c>
      <c r="E360" s="126"/>
      <c r="F360" s="145" t="s">
        <v>273</v>
      </c>
      <c r="G360" s="126">
        <v>2</v>
      </c>
      <c r="H360" s="126">
        <v>2</v>
      </c>
      <c r="I360" s="118">
        <v>788.14</v>
      </c>
      <c r="J360" s="118">
        <v>731.72</v>
      </c>
      <c r="K360" s="118">
        <v>674.63</v>
      </c>
      <c r="L360" s="127">
        <v>35</v>
      </c>
      <c r="M360" s="126" t="s">
        <v>271</v>
      </c>
      <c r="N360" s="126" t="s">
        <v>275</v>
      </c>
      <c r="O360" s="124" t="s">
        <v>290</v>
      </c>
      <c r="P360" s="118">
        <v>3031500</v>
      </c>
      <c r="Q360" s="118">
        <v>0</v>
      </c>
      <c r="R360" s="118">
        <v>0</v>
      </c>
      <c r="S360" s="118">
        <f t="shared" si="51"/>
        <v>3031500</v>
      </c>
      <c r="T360" s="118">
        <f t="shared" si="45"/>
        <v>3846.3978480980536</v>
      </c>
      <c r="U360" s="118">
        <f t="shared" si="52"/>
        <v>4116.4061461161718</v>
      </c>
      <c r="V360" s="183">
        <f t="shared" si="46"/>
        <v>270.00829801811824</v>
      </c>
      <c r="W360" s="183"/>
      <c r="X360" s="183"/>
      <c r="Y360" s="64">
        <f t="shared" si="47"/>
        <v>4116.4061461161718</v>
      </c>
      <c r="AA360" s="64">
        <f t="shared" si="48"/>
        <v>621.29999999999995</v>
      </c>
      <c r="AC360" s="64" t="s">
        <v>416</v>
      </c>
      <c r="AD360" s="64">
        <v>600</v>
      </c>
      <c r="AH360" s="64" t="e">
        <f t="shared" si="49"/>
        <v>#N/A</v>
      </c>
      <c r="AS360" s="64" t="e">
        <f t="shared" si="50"/>
        <v>#N/A</v>
      </c>
    </row>
    <row r="361" spans="1:45" s="64" customFormat="1" ht="36" customHeight="1" x14ac:dyDescent="0.9">
      <c r="A361" s="64">
        <v>1</v>
      </c>
      <c r="B361" s="92">
        <f>SUBTOTAL(103,$A$16:A361)</f>
        <v>324</v>
      </c>
      <c r="C361" s="91" t="s">
        <v>114</v>
      </c>
      <c r="D361" s="126">
        <v>1969</v>
      </c>
      <c r="E361" s="126"/>
      <c r="F361" s="145" t="s">
        <v>273</v>
      </c>
      <c r="G361" s="126">
        <v>2</v>
      </c>
      <c r="H361" s="126">
        <v>1</v>
      </c>
      <c r="I361" s="118">
        <v>399.42</v>
      </c>
      <c r="J361" s="118">
        <v>370.5</v>
      </c>
      <c r="K361" s="118">
        <v>326.83</v>
      </c>
      <c r="L361" s="127">
        <v>18</v>
      </c>
      <c r="M361" s="126" t="s">
        <v>271</v>
      </c>
      <c r="N361" s="126" t="s">
        <v>275</v>
      </c>
      <c r="O361" s="124" t="s">
        <v>290</v>
      </c>
      <c r="P361" s="118">
        <v>1557500</v>
      </c>
      <c r="Q361" s="118">
        <v>0</v>
      </c>
      <c r="R361" s="118">
        <v>0</v>
      </c>
      <c r="S361" s="118">
        <f t="shared" si="51"/>
        <v>1557500</v>
      </c>
      <c r="T361" s="118">
        <f t="shared" si="45"/>
        <v>3899.4041359971957</v>
      </c>
      <c r="U361" s="118">
        <f t="shared" si="52"/>
        <v>4229.2631816133389</v>
      </c>
      <c r="V361" s="183">
        <f t="shared" si="46"/>
        <v>329.85904561614325</v>
      </c>
      <c r="W361" s="183"/>
      <c r="X361" s="183"/>
      <c r="Y361" s="64">
        <f t="shared" si="47"/>
        <v>4229.2631816133389</v>
      </c>
      <c r="AA361" s="64">
        <f t="shared" si="48"/>
        <v>323.5</v>
      </c>
      <c r="AC361" s="64" t="s">
        <v>417</v>
      </c>
      <c r="AD361" s="64">
        <v>477</v>
      </c>
      <c r="AH361" s="64" t="e">
        <f t="shared" si="49"/>
        <v>#N/A</v>
      </c>
      <c r="AS361" s="64" t="e">
        <f t="shared" si="50"/>
        <v>#N/A</v>
      </c>
    </row>
    <row r="362" spans="1:45" s="64" customFormat="1" ht="36" customHeight="1" x14ac:dyDescent="0.9">
      <c r="A362" s="64">
        <v>1</v>
      </c>
      <c r="B362" s="92">
        <f>SUBTOTAL(103,$A$16:A362)</f>
        <v>325</v>
      </c>
      <c r="C362" s="91" t="s">
        <v>116</v>
      </c>
      <c r="D362" s="126">
        <v>1972</v>
      </c>
      <c r="E362" s="126"/>
      <c r="F362" s="145" t="s">
        <v>293</v>
      </c>
      <c r="G362" s="126">
        <v>5</v>
      </c>
      <c r="H362" s="126">
        <v>5</v>
      </c>
      <c r="I362" s="118">
        <v>5806.44</v>
      </c>
      <c r="J362" s="118">
        <v>4492</v>
      </c>
      <c r="K362" s="118">
        <v>4492</v>
      </c>
      <c r="L362" s="127">
        <v>211</v>
      </c>
      <c r="M362" s="126" t="s">
        <v>271</v>
      </c>
      <c r="N362" s="126" t="s">
        <v>275</v>
      </c>
      <c r="O362" s="124" t="s">
        <v>291</v>
      </c>
      <c r="P362" s="118">
        <v>5416920.4299999997</v>
      </c>
      <c r="Q362" s="118">
        <v>0</v>
      </c>
      <c r="R362" s="118">
        <v>0</v>
      </c>
      <c r="S362" s="118">
        <f t="shared" si="51"/>
        <v>5416920.4299999997</v>
      </c>
      <c r="T362" s="118">
        <f t="shared" si="45"/>
        <v>932.91593988743534</v>
      </c>
      <c r="U362" s="118">
        <f t="shared" si="52"/>
        <v>1130.3449996899997</v>
      </c>
      <c r="V362" s="183">
        <f t="shared" si="46"/>
        <v>197.42905980256432</v>
      </c>
      <c r="W362" s="183"/>
      <c r="X362" s="183"/>
      <c r="Y362" s="64">
        <f t="shared" si="47"/>
        <v>1130.3449996899997</v>
      </c>
      <c r="AA362" s="64">
        <f t="shared" si="48"/>
        <v>1256.9000000000001</v>
      </c>
      <c r="AC362" s="64" t="s">
        <v>418</v>
      </c>
      <c r="AD362" s="64">
        <v>472</v>
      </c>
      <c r="AH362" s="64" t="e">
        <f t="shared" si="49"/>
        <v>#N/A</v>
      </c>
      <c r="AS362" s="64" t="e">
        <f t="shared" si="50"/>
        <v>#N/A</v>
      </c>
    </row>
    <row r="363" spans="1:45" s="64" customFormat="1" ht="36" customHeight="1" x14ac:dyDescent="0.9">
      <c r="A363" s="64">
        <v>1</v>
      </c>
      <c r="B363" s="92">
        <f>SUBTOTAL(103,$A$16:A363)</f>
        <v>326</v>
      </c>
      <c r="C363" s="91" t="s">
        <v>117</v>
      </c>
      <c r="D363" s="126">
        <v>1973</v>
      </c>
      <c r="E363" s="126"/>
      <c r="F363" s="145" t="s">
        <v>293</v>
      </c>
      <c r="G363" s="126">
        <v>5</v>
      </c>
      <c r="H363" s="126">
        <v>6</v>
      </c>
      <c r="I363" s="118">
        <v>6042.57</v>
      </c>
      <c r="J363" s="118">
        <v>4619</v>
      </c>
      <c r="K363" s="118">
        <v>4619</v>
      </c>
      <c r="L363" s="127">
        <v>176</v>
      </c>
      <c r="M363" s="126" t="s">
        <v>271</v>
      </c>
      <c r="N363" s="126" t="s">
        <v>275</v>
      </c>
      <c r="O363" s="124" t="s">
        <v>291</v>
      </c>
      <c r="P363" s="118">
        <v>5549355.2299999995</v>
      </c>
      <c r="Q363" s="118">
        <v>0</v>
      </c>
      <c r="R363" s="118">
        <v>0</v>
      </c>
      <c r="S363" s="118">
        <f t="shared" si="51"/>
        <v>5549355.2299999995</v>
      </c>
      <c r="T363" s="118">
        <f t="shared" si="45"/>
        <v>918.37665595930207</v>
      </c>
      <c r="U363" s="118">
        <f t="shared" si="52"/>
        <v>994.65820007049979</v>
      </c>
      <c r="V363" s="183">
        <f t="shared" si="46"/>
        <v>76.281544111197718</v>
      </c>
      <c r="W363" s="183"/>
      <c r="X363" s="183"/>
      <c r="Y363" s="64">
        <f t="shared" si="47"/>
        <v>994.65820007049979</v>
      </c>
      <c r="AA363" s="64">
        <f t="shared" si="48"/>
        <v>1151</v>
      </c>
      <c r="AC363" s="64" t="s">
        <v>419</v>
      </c>
      <c r="AD363" s="64">
        <v>469</v>
      </c>
      <c r="AH363" s="64" t="e">
        <f t="shared" si="49"/>
        <v>#N/A</v>
      </c>
      <c r="AS363" s="64" t="e">
        <f t="shared" si="50"/>
        <v>#N/A</v>
      </c>
    </row>
    <row r="364" spans="1:45" s="64" customFormat="1" ht="36" customHeight="1" x14ac:dyDescent="0.9">
      <c r="A364" s="64">
        <v>1</v>
      </c>
      <c r="B364" s="92">
        <f>SUBTOTAL(103,$A$16:A364)</f>
        <v>327</v>
      </c>
      <c r="C364" s="91" t="s">
        <v>119</v>
      </c>
      <c r="D364" s="126">
        <v>1973</v>
      </c>
      <c r="E364" s="126"/>
      <c r="F364" s="145" t="s">
        <v>273</v>
      </c>
      <c r="G364" s="126">
        <v>2</v>
      </c>
      <c r="H364" s="126">
        <v>2</v>
      </c>
      <c r="I364" s="118">
        <v>787.52</v>
      </c>
      <c r="J364" s="118">
        <v>728.1</v>
      </c>
      <c r="K364" s="118">
        <v>728.1</v>
      </c>
      <c r="L364" s="127">
        <v>30</v>
      </c>
      <c r="M364" s="126" t="s">
        <v>271</v>
      </c>
      <c r="N364" s="126" t="s">
        <v>275</v>
      </c>
      <c r="O364" s="124" t="s">
        <v>291</v>
      </c>
      <c r="P364" s="118">
        <v>3124500</v>
      </c>
      <c r="Q364" s="118">
        <v>0</v>
      </c>
      <c r="R364" s="118">
        <v>0</v>
      </c>
      <c r="S364" s="118">
        <f t="shared" si="51"/>
        <v>3124500</v>
      </c>
      <c r="T364" s="118">
        <f t="shared" si="45"/>
        <v>3967.5182852498983</v>
      </c>
      <c r="U364" s="118">
        <f t="shared" si="52"/>
        <v>4242.9777275497763</v>
      </c>
      <c r="V364" s="183">
        <f t="shared" si="46"/>
        <v>275.45944229987799</v>
      </c>
      <c r="W364" s="183"/>
      <c r="X364" s="183"/>
      <c r="Y364" s="64">
        <f t="shared" si="47"/>
        <v>4242.9777275497763</v>
      </c>
      <c r="AA364" s="64">
        <f t="shared" si="48"/>
        <v>639.9</v>
      </c>
      <c r="AC364" s="64" t="s">
        <v>420</v>
      </c>
      <c r="AD364" s="64">
        <v>1314</v>
      </c>
      <c r="AH364" s="64" t="e">
        <f t="shared" si="49"/>
        <v>#N/A</v>
      </c>
      <c r="AS364" s="64" t="e">
        <f t="shared" si="50"/>
        <v>#N/A</v>
      </c>
    </row>
    <row r="365" spans="1:45" s="64" customFormat="1" ht="36" customHeight="1" x14ac:dyDescent="0.9">
      <c r="A365" s="64">
        <v>1</v>
      </c>
      <c r="B365" s="92">
        <f>SUBTOTAL(103,$A$16:A365)</f>
        <v>328</v>
      </c>
      <c r="C365" s="91" t="s">
        <v>120</v>
      </c>
      <c r="D365" s="126">
        <v>1979</v>
      </c>
      <c r="E365" s="126"/>
      <c r="F365" s="145" t="s">
        <v>273</v>
      </c>
      <c r="G365" s="126">
        <v>2</v>
      </c>
      <c r="H365" s="126">
        <v>3</v>
      </c>
      <c r="I365" s="118">
        <v>1253.7</v>
      </c>
      <c r="J365" s="118">
        <v>1133.5</v>
      </c>
      <c r="K365" s="118">
        <v>1133.5</v>
      </c>
      <c r="L365" s="127">
        <v>56</v>
      </c>
      <c r="M365" s="126" t="s">
        <v>271</v>
      </c>
      <c r="N365" s="126" t="s">
        <v>275</v>
      </c>
      <c r="O365" s="124" t="s">
        <v>291</v>
      </c>
      <c r="P365" s="118">
        <v>2417780.6800000002</v>
      </c>
      <c r="Q365" s="118">
        <v>0</v>
      </c>
      <c r="R365" s="118">
        <v>0</v>
      </c>
      <c r="S365" s="118">
        <f t="shared" si="51"/>
        <v>2417780.6800000002</v>
      </c>
      <c r="T365" s="118">
        <f t="shared" si="45"/>
        <v>1928.5161362367394</v>
      </c>
      <c r="U365" s="118">
        <v>3023.77</v>
      </c>
      <c r="V365" s="183">
        <f t="shared" si="46"/>
        <v>1095.2538637632606</v>
      </c>
      <c r="W365" s="183"/>
      <c r="X365" s="183"/>
      <c r="Y365" s="64" t="e">
        <f t="shared" si="47"/>
        <v>#N/A</v>
      </c>
      <c r="AA365" s="64" t="e">
        <f t="shared" si="48"/>
        <v>#N/A</v>
      </c>
      <c r="AC365" s="64" t="s">
        <v>421</v>
      </c>
      <c r="AD365" s="64">
        <v>1134</v>
      </c>
      <c r="AH365" s="64" t="e">
        <f t="shared" si="49"/>
        <v>#N/A</v>
      </c>
      <c r="AS365" s="64" t="e">
        <f t="shared" si="50"/>
        <v>#N/A</v>
      </c>
    </row>
    <row r="366" spans="1:45" s="64" customFormat="1" ht="36" customHeight="1" x14ac:dyDescent="0.9">
      <c r="A366" s="64">
        <v>1</v>
      </c>
      <c r="B366" s="92">
        <f>SUBTOTAL(103,$A$16:A366)</f>
        <v>329</v>
      </c>
      <c r="C366" s="91" t="s">
        <v>1252</v>
      </c>
      <c r="D366" s="126" t="s">
        <v>317</v>
      </c>
      <c r="E366" s="126"/>
      <c r="F366" s="145" t="s">
        <v>273</v>
      </c>
      <c r="G366" s="126" t="s">
        <v>360</v>
      </c>
      <c r="H366" s="126" t="s">
        <v>380</v>
      </c>
      <c r="I366" s="118">
        <v>5104.97</v>
      </c>
      <c r="J366" s="118">
        <v>4716.63</v>
      </c>
      <c r="K366" s="118">
        <v>3830.44</v>
      </c>
      <c r="L366" s="127">
        <v>208</v>
      </c>
      <c r="M366" s="126" t="s">
        <v>271</v>
      </c>
      <c r="N366" s="126" t="s">
        <v>275</v>
      </c>
      <c r="O366" s="124" t="s">
        <v>1339</v>
      </c>
      <c r="P366" s="118">
        <v>6033854.2400000002</v>
      </c>
      <c r="Q366" s="118">
        <v>0</v>
      </c>
      <c r="R366" s="118">
        <v>0</v>
      </c>
      <c r="S366" s="118">
        <f t="shared" si="51"/>
        <v>6033854.2400000002</v>
      </c>
      <c r="T366" s="118">
        <f t="shared" si="45"/>
        <v>1181.9568459755885</v>
      </c>
      <c r="U366" s="118">
        <f>AG366</f>
        <v>4494.6782864036395</v>
      </c>
      <c r="V366" s="183">
        <f t="shared" si="46"/>
        <v>3312.7214404280512</v>
      </c>
      <c r="W366" s="183"/>
      <c r="X366" s="183"/>
      <c r="Y366" s="64" t="e">
        <f t="shared" si="47"/>
        <v>#N/A</v>
      </c>
      <c r="AA366" s="64" t="e">
        <f t="shared" si="48"/>
        <v>#N/A</v>
      </c>
      <c r="AC366" s="64" t="s">
        <v>422</v>
      </c>
      <c r="AD366" s="64">
        <v>579</v>
      </c>
      <c r="AG366" s="64">
        <f>AH366*6191.24/J366</f>
        <v>4494.6782864036395</v>
      </c>
      <c r="AH366" s="64">
        <f t="shared" si="49"/>
        <v>3424.15</v>
      </c>
      <c r="AS366" s="64" t="e">
        <f t="shared" si="50"/>
        <v>#N/A</v>
      </c>
    </row>
    <row r="367" spans="1:45" s="64" customFormat="1" ht="36" customHeight="1" x14ac:dyDescent="0.9">
      <c r="A367" s="64">
        <v>1</v>
      </c>
      <c r="B367" s="92">
        <f>SUBTOTAL(103,$A$16:A367)</f>
        <v>330</v>
      </c>
      <c r="C367" s="91" t="s">
        <v>1253</v>
      </c>
      <c r="D367" s="126">
        <v>1973</v>
      </c>
      <c r="E367" s="126"/>
      <c r="F367" s="145" t="s">
        <v>326</v>
      </c>
      <c r="G367" s="126">
        <v>5</v>
      </c>
      <c r="H367" s="126">
        <v>6</v>
      </c>
      <c r="I367" s="118">
        <v>4615</v>
      </c>
      <c r="J367" s="118">
        <v>3188.68</v>
      </c>
      <c r="K367" s="118">
        <v>3188.68</v>
      </c>
      <c r="L367" s="127">
        <v>184</v>
      </c>
      <c r="M367" s="126" t="s">
        <v>271</v>
      </c>
      <c r="N367" s="126" t="s">
        <v>275</v>
      </c>
      <c r="O367" s="124" t="s">
        <v>1340</v>
      </c>
      <c r="P367" s="118">
        <v>4209702.2299999995</v>
      </c>
      <c r="Q367" s="118">
        <v>0</v>
      </c>
      <c r="R367" s="118">
        <v>0</v>
      </c>
      <c r="S367" s="118">
        <f t="shared" si="51"/>
        <v>4209702.2299999995</v>
      </c>
      <c r="T367" s="118">
        <f t="shared" si="45"/>
        <v>912.17816468038995</v>
      </c>
      <c r="U367" s="118">
        <f>Y367</f>
        <v>1301.5463791982665</v>
      </c>
      <c r="V367" s="183">
        <f t="shared" si="46"/>
        <v>389.36821451787659</v>
      </c>
      <c r="W367" s="183"/>
      <c r="X367" s="183"/>
      <c r="Y367" s="64">
        <f t="shared" si="47"/>
        <v>1301.5463791982665</v>
      </c>
      <c r="AA367" s="64">
        <f t="shared" si="48"/>
        <v>1150.3</v>
      </c>
      <c r="AC367" s="64" t="s">
        <v>423</v>
      </c>
      <c r="AD367" s="64">
        <v>570</v>
      </c>
      <c r="AH367" s="64" t="e">
        <f t="shared" si="49"/>
        <v>#N/A</v>
      </c>
      <c r="AS367" s="64" t="e">
        <f t="shared" si="50"/>
        <v>#N/A</v>
      </c>
    </row>
    <row r="368" spans="1:45" s="64" customFormat="1" ht="36" customHeight="1" x14ac:dyDescent="0.9">
      <c r="A368" s="64">
        <v>1</v>
      </c>
      <c r="B368" s="92">
        <f>SUBTOTAL(103,$A$16:A368)</f>
        <v>331</v>
      </c>
      <c r="C368" s="91" t="s">
        <v>1254</v>
      </c>
      <c r="D368" s="126">
        <v>1974</v>
      </c>
      <c r="E368" s="126"/>
      <c r="F368" s="145" t="s">
        <v>293</v>
      </c>
      <c r="G368" s="126">
        <v>5</v>
      </c>
      <c r="H368" s="126">
        <v>4</v>
      </c>
      <c r="I368" s="118">
        <v>4089.9</v>
      </c>
      <c r="J368" s="118">
        <v>3096</v>
      </c>
      <c r="K368" s="118">
        <v>3096</v>
      </c>
      <c r="L368" s="127">
        <v>116</v>
      </c>
      <c r="M368" s="126" t="s">
        <v>271</v>
      </c>
      <c r="N368" s="126" t="s">
        <v>275</v>
      </c>
      <c r="O368" s="124" t="s">
        <v>1361</v>
      </c>
      <c r="P368" s="118">
        <v>2832917.6399999997</v>
      </c>
      <c r="Q368" s="118">
        <v>0</v>
      </c>
      <c r="R368" s="118">
        <v>0</v>
      </c>
      <c r="S368" s="118">
        <f t="shared" si="51"/>
        <v>2832917.6399999997</v>
      </c>
      <c r="T368" s="118">
        <f t="shared" si="45"/>
        <v>692.6618352526956</v>
      </c>
      <c r="U368" s="118">
        <f>Y368</f>
        <v>975.18541773637492</v>
      </c>
      <c r="V368" s="183">
        <f t="shared" si="46"/>
        <v>282.52358248367932</v>
      </c>
      <c r="W368" s="183"/>
      <c r="X368" s="183"/>
      <c r="Y368" s="64">
        <f t="shared" si="47"/>
        <v>975.18541773637492</v>
      </c>
      <c r="AA368" s="64">
        <f t="shared" si="48"/>
        <v>763.8</v>
      </c>
      <c r="AC368" s="64" t="s">
        <v>424</v>
      </c>
      <c r="AD368" s="64">
        <v>322</v>
      </c>
      <c r="AH368" s="64" t="e">
        <f t="shared" si="49"/>
        <v>#N/A</v>
      </c>
      <c r="AS368" s="64" t="e">
        <f t="shared" si="50"/>
        <v>#N/A</v>
      </c>
    </row>
    <row r="369" spans="1:194" s="64" customFormat="1" ht="36" customHeight="1" x14ac:dyDescent="0.9">
      <c r="A369" s="64">
        <v>1</v>
      </c>
      <c r="B369" s="92">
        <f>SUBTOTAL(103,$A$16:A369)</f>
        <v>332</v>
      </c>
      <c r="C369" s="91" t="s">
        <v>1255</v>
      </c>
      <c r="D369" s="126">
        <v>1966</v>
      </c>
      <c r="E369" s="126"/>
      <c r="F369" s="145" t="s">
        <v>293</v>
      </c>
      <c r="G369" s="126">
        <v>2</v>
      </c>
      <c r="H369" s="126">
        <v>2</v>
      </c>
      <c r="I369" s="118">
        <v>1059</v>
      </c>
      <c r="J369" s="118">
        <v>649.9</v>
      </c>
      <c r="K369" s="118">
        <v>649.9</v>
      </c>
      <c r="L369" s="127">
        <v>27</v>
      </c>
      <c r="M369" s="126" t="s">
        <v>271</v>
      </c>
      <c r="N369" s="126" t="s">
        <v>275</v>
      </c>
      <c r="O369" s="124" t="s">
        <v>1361</v>
      </c>
      <c r="P369" s="118">
        <v>2136613.5299999998</v>
      </c>
      <c r="Q369" s="118">
        <v>0</v>
      </c>
      <c r="R369" s="118">
        <v>0</v>
      </c>
      <c r="S369" s="118">
        <f t="shared" si="51"/>
        <v>2136613.5299999998</v>
      </c>
      <c r="T369" s="118">
        <f t="shared" si="45"/>
        <v>2017.5765155807364</v>
      </c>
      <c r="U369" s="118">
        <f>Y369</f>
        <v>2273.6279320113313</v>
      </c>
      <c r="V369" s="183">
        <f t="shared" si="46"/>
        <v>256.05141643059483</v>
      </c>
      <c r="W369" s="183"/>
      <c r="X369" s="183"/>
      <c r="Y369" s="64">
        <f t="shared" si="47"/>
        <v>2273.6279320113313</v>
      </c>
      <c r="AA369" s="64">
        <f t="shared" si="48"/>
        <v>461.1</v>
      </c>
      <c r="AC369" s="64" t="s">
        <v>425</v>
      </c>
      <c r="AD369" s="64">
        <v>1630</v>
      </c>
      <c r="AH369" s="64" t="e">
        <f t="shared" si="49"/>
        <v>#N/A</v>
      </c>
      <c r="AS369" s="64" t="e">
        <f t="shared" si="50"/>
        <v>#N/A</v>
      </c>
    </row>
    <row r="370" spans="1:194" s="64" customFormat="1" ht="36" customHeight="1" x14ac:dyDescent="0.9">
      <c r="A370" s="64">
        <v>1</v>
      </c>
      <c r="B370" s="92">
        <f>SUBTOTAL(103,$A$16:A370)</f>
        <v>333</v>
      </c>
      <c r="C370" s="91" t="s">
        <v>1256</v>
      </c>
      <c r="D370" s="126">
        <v>1987</v>
      </c>
      <c r="E370" s="126"/>
      <c r="F370" s="145" t="s">
        <v>273</v>
      </c>
      <c r="G370" s="126">
        <v>2</v>
      </c>
      <c r="H370" s="126">
        <v>3</v>
      </c>
      <c r="I370" s="118">
        <v>1448.2</v>
      </c>
      <c r="J370" s="118">
        <v>864.2</v>
      </c>
      <c r="K370" s="118">
        <v>864.2</v>
      </c>
      <c r="L370" s="127">
        <v>53</v>
      </c>
      <c r="M370" s="126" t="s">
        <v>271</v>
      </c>
      <c r="N370" s="126" t="s">
        <v>275</v>
      </c>
      <c r="O370" s="124" t="s">
        <v>1362</v>
      </c>
      <c r="P370" s="118">
        <v>1493904.71</v>
      </c>
      <c r="Q370" s="118">
        <v>0</v>
      </c>
      <c r="R370" s="118">
        <v>0</v>
      </c>
      <c r="S370" s="118">
        <f t="shared" si="51"/>
        <v>1493904.71</v>
      </c>
      <c r="T370" s="118">
        <f t="shared" si="45"/>
        <v>1031.5596671730423</v>
      </c>
      <c r="U370" s="118">
        <v>3023.77</v>
      </c>
      <c r="V370" s="183">
        <f t="shared" si="46"/>
        <v>1992.2103328269577</v>
      </c>
      <c r="W370" s="183"/>
      <c r="X370" s="183"/>
      <c r="Y370" s="64" t="e">
        <f t="shared" si="47"/>
        <v>#N/A</v>
      </c>
      <c r="AA370" s="64" t="e">
        <f t="shared" si="48"/>
        <v>#N/A</v>
      </c>
      <c r="AC370" s="64" t="s">
        <v>426</v>
      </c>
      <c r="AD370" s="64">
        <v>500</v>
      </c>
      <c r="AH370" s="64" t="e">
        <f t="shared" si="49"/>
        <v>#N/A</v>
      </c>
      <c r="AS370" s="64" t="e">
        <f t="shared" si="50"/>
        <v>#N/A</v>
      </c>
    </row>
    <row r="371" spans="1:194" s="64" customFormat="1" ht="36" customHeight="1" x14ac:dyDescent="0.9">
      <c r="A371" s="64">
        <v>1</v>
      </c>
      <c r="B371" s="92">
        <f>SUBTOTAL(103,$A$16:A371)</f>
        <v>334</v>
      </c>
      <c r="C371" s="91" t="s">
        <v>1257</v>
      </c>
      <c r="D371" s="126">
        <v>1978</v>
      </c>
      <c r="E371" s="126"/>
      <c r="F371" s="145" t="s">
        <v>326</v>
      </c>
      <c r="G371" s="126">
        <v>5</v>
      </c>
      <c r="H371" s="126">
        <v>8</v>
      </c>
      <c r="I371" s="118">
        <v>7971.79</v>
      </c>
      <c r="J371" s="118">
        <v>6074.64</v>
      </c>
      <c r="K371" s="118">
        <v>6074.64</v>
      </c>
      <c r="L371" s="127">
        <v>264</v>
      </c>
      <c r="M371" s="126" t="s">
        <v>271</v>
      </c>
      <c r="N371" s="126" t="s">
        <v>275</v>
      </c>
      <c r="O371" s="124" t="s">
        <v>1362</v>
      </c>
      <c r="P371" s="118">
        <v>5506257.7399999993</v>
      </c>
      <c r="Q371" s="118">
        <v>0</v>
      </c>
      <c r="R371" s="118">
        <v>0</v>
      </c>
      <c r="S371" s="118">
        <f t="shared" si="51"/>
        <v>5506257.7399999993</v>
      </c>
      <c r="T371" s="118">
        <f t="shared" si="45"/>
        <v>690.71786135861578</v>
      </c>
      <c r="U371" s="118">
        <f>Y371</f>
        <v>1001.4827309801187</v>
      </c>
      <c r="V371" s="183">
        <f t="shared" si="46"/>
        <v>310.76486962150295</v>
      </c>
      <c r="W371" s="183"/>
      <c r="X371" s="183"/>
      <c r="Y371" s="64">
        <f t="shared" si="47"/>
        <v>1001.4827309801187</v>
      </c>
      <c r="AA371" s="64">
        <f t="shared" si="48"/>
        <v>1528.9</v>
      </c>
      <c r="AC371" s="64" t="s">
        <v>427</v>
      </c>
      <c r="AD371" s="64">
        <v>420</v>
      </c>
      <c r="AH371" s="64" t="e">
        <f t="shared" si="49"/>
        <v>#N/A</v>
      </c>
      <c r="AS371" s="64" t="e">
        <f t="shared" si="50"/>
        <v>#N/A</v>
      </c>
    </row>
    <row r="372" spans="1:194" s="64" customFormat="1" ht="36" customHeight="1" x14ac:dyDescent="0.9">
      <c r="A372" s="64">
        <v>1</v>
      </c>
      <c r="B372" s="92">
        <f>SUBTOTAL(103,$A$16:A372)</f>
        <v>335</v>
      </c>
      <c r="C372" s="91" t="s">
        <v>1609</v>
      </c>
      <c r="D372" s="126">
        <v>1977</v>
      </c>
      <c r="E372" s="126"/>
      <c r="F372" s="145" t="s">
        <v>1626</v>
      </c>
      <c r="G372" s="126">
        <v>2</v>
      </c>
      <c r="H372" s="126">
        <v>3</v>
      </c>
      <c r="I372" s="118">
        <v>982.4</v>
      </c>
      <c r="J372" s="118">
        <v>564.1</v>
      </c>
      <c r="K372" s="118">
        <f>J372-49.9</f>
        <v>514.20000000000005</v>
      </c>
      <c r="L372" s="127">
        <v>46</v>
      </c>
      <c r="M372" s="126" t="s">
        <v>271</v>
      </c>
      <c r="N372" s="126" t="s">
        <v>275</v>
      </c>
      <c r="O372" s="124" t="s">
        <v>1633</v>
      </c>
      <c r="P372" s="118">
        <v>4512966</v>
      </c>
      <c r="Q372" s="118">
        <v>0</v>
      </c>
      <c r="R372" s="118">
        <v>0</v>
      </c>
      <c r="S372" s="118">
        <f>P372-R372-Q372</f>
        <v>4512966</v>
      </c>
      <c r="T372" s="118">
        <f t="shared" si="45"/>
        <v>4593.8171824104238</v>
      </c>
      <c r="U372" s="118">
        <f>Y372</f>
        <v>4624.3546416938116</v>
      </c>
      <c r="V372" s="183">
        <f t="shared" si="46"/>
        <v>30.537459283387761</v>
      </c>
      <c r="W372" s="183"/>
      <c r="X372" s="183"/>
      <c r="Y372" s="64">
        <f t="shared" si="47"/>
        <v>4624.3546416938116</v>
      </c>
      <c r="AA372" s="64">
        <f t="shared" si="48"/>
        <v>870</v>
      </c>
      <c r="AC372" s="64" t="s">
        <v>206</v>
      </c>
      <c r="AD372" s="64">
        <v>700</v>
      </c>
      <c r="AH372" s="64" t="e">
        <f t="shared" si="49"/>
        <v>#N/A</v>
      </c>
      <c r="AS372" s="64" t="e">
        <f t="shared" si="50"/>
        <v>#N/A</v>
      </c>
    </row>
    <row r="373" spans="1:194" s="20" customFormat="1" ht="36" customHeight="1" x14ac:dyDescent="0.9">
      <c r="A373" s="64">
        <v>1</v>
      </c>
      <c r="B373" s="92">
        <f>SUBTOTAL(103,$A$16:A373)</f>
        <v>336</v>
      </c>
      <c r="C373" s="116" t="s">
        <v>136</v>
      </c>
      <c r="D373" s="112">
        <v>1976</v>
      </c>
      <c r="E373" s="112"/>
      <c r="F373" s="146" t="s">
        <v>293</v>
      </c>
      <c r="G373" s="112">
        <v>5</v>
      </c>
      <c r="H373" s="112">
        <v>6</v>
      </c>
      <c r="I373" s="114">
        <v>6117.57</v>
      </c>
      <c r="J373" s="114">
        <v>4610</v>
      </c>
      <c r="K373" s="114">
        <v>4610</v>
      </c>
      <c r="L373" s="115">
        <v>166</v>
      </c>
      <c r="M373" s="112" t="s">
        <v>271</v>
      </c>
      <c r="N373" s="112" t="s">
        <v>275</v>
      </c>
      <c r="O373" s="112" t="s">
        <v>291</v>
      </c>
      <c r="P373" s="117">
        <v>4978221.0999999996</v>
      </c>
      <c r="Q373" s="117">
        <v>0</v>
      </c>
      <c r="R373" s="117">
        <v>0</v>
      </c>
      <c r="S373" s="117">
        <f>P373-Q373-R373</f>
        <v>4978221.0999999996</v>
      </c>
      <c r="T373" s="118">
        <f t="shared" si="45"/>
        <v>813.75793002777243</v>
      </c>
      <c r="U373" s="118">
        <f>Y373</f>
        <v>1049.8109249260738</v>
      </c>
      <c r="V373" s="183">
        <f t="shared" si="46"/>
        <v>236.05299489830134</v>
      </c>
      <c r="W373" s="183"/>
      <c r="X373" s="183"/>
      <c r="Y373" s="64">
        <f t="shared" si="47"/>
        <v>1049.8109249260738</v>
      </c>
      <c r="AA373" s="64">
        <f t="shared" si="48"/>
        <v>1229.9000000000001</v>
      </c>
      <c r="AC373" s="20" t="s">
        <v>208</v>
      </c>
      <c r="AD373" s="20">
        <v>695</v>
      </c>
      <c r="AH373" s="64" t="e">
        <f t="shared" si="49"/>
        <v>#N/A</v>
      </c>
      <c r="AS373" s="64" t="e">
        <f t="shared" si="50"/>
        <v>#N/A</v>
      </c>
      <c r="DT373" s="119"/>
      <c r="DU373" s="119"/>
      <c r="DV373" s="119"/>
      <c r="EJ373" s="120"/>
      <c r="ES373" s="121"/>
      <c r="FV373" s="122"/>
      <c r="GL373" s="123"/>
    </row>
    <row r="374" spans="1:194" s="64" customFormat="1" ht="36" customHeight="1" x14ac:dyDescent="0.9">
      <c r="B374" s="91" t="s">
        <v>857</v>
      </c>
      <c r="C374" s="91"/>
      <c r="D374" s="126" t="s">
        <v>916</v>
      </c>
      <c r="E374" s="126" t="s">
        <v>916</v>
      </c>
      <c r="F374" s="126" t="s">
        <v>916</v>
      </c>
      <c r="G374" s="126" t="s">
        <v>916</v>
      </c>
      <c r="H374" s="126" t="s">
        <v>916</v>
      </c>
      <c r="I374" s="117">
        <f>SUM(I375:I376)</f>
        <v>2529.2999999999997</v>
      </c>
      <c r="J374" s="117">
        <f>SUM(J375:J376)</f>
        <v>2495.1999999999998</v>
      </c>
      <c r="K374" s="117">
        <f>SUM(K375:K376)</f>
        <v>1873.5</v>
      </c>
      <c r="L374" s="127">
        <f>SUM(L375:L376)</f>
        <v>114</v>
      </c>
      <c r="M374" s="126" t="s">
        <v>916</v>
      </c>
      <c r="N374" s="126" t="s">
        <v>916</v>
      </c>
      <c r="O374" s="124" t="s">
        <v>916</v>
      </c>
      <c r="P374" s="118">
        <v>2913286.51</v>
      </c>
      <c r="Q374" s="118">
        <f>SUM(Q375:Q376)</f>
        <v>0</v>
      </c>
      <c r="R374" s="118">
        <f>SUM(R375:R376)</f>
        <v>0</v>
      </c>
      <c r="S374" s="118">
        <f>SUM(S375:S376)</f>
        <v>2913286.51</v>
      </c>
      <c r="T374" s="118">
        <f t="shared" si="45"/>
        <v>1151.8153283517179</v>
      </c>
      <c r="U374" s="118">
        <f>MAX(U375:U376)</f>
        <v>1338.092432278841</v>
      </c>
      <c r="V374" s="183">
        <f t="shared" si="46"/>
        <v>186.27710392712311</v>
      </c>
      <c r="W374" s="183"/>
      <c r="X374" s="183"/>
      <c r="Y374" s="64" t="e">
        <f t="shared" si="47"/>
        <v>#N/A</v>
      </c>
      <c r="AA374" s="64" t="e">
        <f t="shared" si="48"/>
        <v>#N/A</v>
      </c>
      <c r="AC374" s="64" t="s">
        <v>207</v>
      </c>
      <c r="AD374" s="64">
        <v>666</v>
      </c>
      <c r="AH374" s="64" t="e">
        <f t="shared" si="49"/>
        <v>#N/A</v>
      </c>
      <c r="AS374" s="64" t="e">
        <f t="shared" si="50"/>
        <v>#N/A</v>
      </c>
    </row>
    <row r="375" spans="1:194" s="64" customFormat="1" ht="36" customHeight="1" x14ac:dyDescent="0.9">
      <c r="A375" s="64">
        <v>1</v>
      </c>
      <c r="B375" s="92">
        <f>SUBTOTAL(103,$A$16:A375)</f>
        <v>337</v>
      </c>
      <c r="C375" s="91" t="s">
        <v>121</v>
      </c>
      <c r="D375" s="126">
        <v>1984</v>
      </c>
      <c r="E375" s="126"/>
      <c r="F375" s="145" t="s">
        <v>293</v>
      </c>
      <c r="G375" s="126">
        <v>5</v>
      </c>
      <c r="H375" s="126">
        <v>3</v>
      </c>
      <c r="I375" s="118">
        <v>2111.6</v>
      </c>
      <c r="J375" s="118">
        <v>2111.6</v>
      </c>
      <c r="K375" s="118">
        <v>1535.5</v>
      </c>
      <c r="L375" s="127">
        <v>91</v>
      </c>
      <c r="M375" s="126" t="s">
        <v>271</v>
      </c>
      <c r="N375" s="126" t="s">
        <v>275</v>
      </c>
      <c r="O375" s="124" t="s">
        <v>292</v>
      </c>
      <c r="P375" s="118">
        <v>2379404.19</v>
      </c>
      <c r="Q375" s="118">
        <v>0</v>
      </c>
      <c r="R375" s="118">
        <v>0</v>
      </c>
      <c r="S375" s="118">
        <f>P375-Q375-R375</f>
        <v>2379404.19</v>
      </c>
      <c r="T375" s="118">
        <f t="shared" si="45"/>
        <v>1126.8252462587611</v>
      </c>
      <c r="U375" s="118">
        <f>Y375</f>
        <v>1338.092432278841</v>
      </c>
      <c r="V375" s="183">
        <f t="shared" si="46"/>
        <v>211.26718602007986</v>
      </c>
      <c r="W375" s="183"/>
      <c r="X375" s="183"/>
      <c r="Y375" s="64">
        <f t="shared" si="47"/>
        <v>1338.092432278841</v>
      </c>
      <c r="AA375" s="64">
        <f t="shared" si="48"/>
        <v>541.1</v>
      </c>
      <c r="AC375" s="64" t="s">
        <v>428</v>
      </c>
      <c r="AD375" s="64">
        <v>825</v>
      </c>
      <c r="AH375" s="64" t="e">
        <f t="shared" si="49"/>
        <v>#N/A</v>
      </c>
      <c r="AS375" s="64" t="e">
        <f t="shared" si="50"/>
        <v>#N/A</v>
      </c>
    </row>
    <row r="376" spans="1:194" s="64" customFormat="1" ht="36" customHeight="1" x14ac:dyDescent="0.9">
      <c r="A376" s="64">
        <v>1</v>
      </c>
      <c r="B376" s="92">
        <f>SUBTOTAL(103,$A$16:A376)</f>
        <v>338</v>
      </c>
      <c r="C376" s="91" t="s">
        <v>1258</v>
      </c>
      <c r="D376" s="126">
        <v>1987</v>
      </c>
      <c r="E376" s="126"/>
      <c r="F376" s="145" t="s">
        <v>273</v>
      </c>
      <c r="G376" s="126">
        <v>2</v>
      </c>
      <c r="H376" s="126">
        <v>1</v>
      </c>
      <c r="I376" s="118">
        <v>417.7</v>
      </c>
      <c r="J376" s="118">
        <v>383.6</v>
      </c>
      <c r="K376" s="118">
        <v>338</v>
      </c>
      <c r="L376" s="127">
        <v>23</v>
      </c>
      <c r="M376" s="126" t="s">
        <v>271</v>
      </c>
      <c r="N376" s="126" t="s">
        <v>272</v>
      </c>
      <c r="O376" s="124" t="s">
        <v>274</v>
      </c>
      <c r="P376" s="118">
        <v>533882.31999999995</v>
      </c>
      <c r="Q376" s="118">
        <v>0</v>
      </c>
      <c r="R376" s="118">
        <v>0</v>
      </c>
      <c r="S376" s="118">
        <f>P376-Q376-R376</f>
        <v>533882.31999999995</v>
      </c>
      <c r="T376" s="118">
        <f t="shared" si="45"/>
        <v>1278.1477615513525</v>
      </c>
      <c r="U376" s="118">
        <v>1278.1477615513525</v>
      </c>
      <c r="V376" s="183">
        <f t="shared" si="46"/>
        <v>0</v>
      </c>
      <c r="W376" s="183"/>
      <c r="X376" s="183"/>
      <c r="Y376" s="64" t="e">
        <f t="shared" si="47"/>
        <v>#N/A</v>
      </c>
      <c r="AA376" s="64" t="e">
        <f t="shared" si="48"/>
        <v>#N/A</v>
      </c>
      <c r="AC376" s="64" t="s">
        <v>429</v>
      </c>
      <c r="AD376" s="64">
        <v>365</v>
      </c>
      <c r="AH376" s="64" t="e">
        <f t="shared" si="49"/>
        <v>#N/A</v>
      </c>
      <c r="AS376" s="64" t="e">
        <f t="shared" si="50"/>
        <v>#N/A</v>
      </c>
    </row>
    <row r="377" spans="1:194" s="64" customFormat="1" ht="36" customHeight="1" x14ac:dyDescent="0.9">
      <c r="B377" s="91" t="s">
        <v>917</v>
      </c>
      <c r="C377" s="91"/>
      <c r="D377" s="126" t="s">
        <v>916</v>
      </c>
      <c r="E377" s="126" t="s">
        <v>916</v>
      </c>
      <c r="F377" s="126" t="s">
        <v>916</v>
      </c>
      <c r="G377" s="126" t="s">
        <v>916</v>
      </c>
      <c r="H377" s="126" t="s">
        <v>916</v>
      </c>
      <c r="I377" s="117">
        <f>I378</f>
        <v>375</v>
      </c>
      <c r="J377" s="117">
        <f>J378</f>
        <v>310.39999999999998</v>
      </c>
      <c r="K377" s="117">
        <f>K378</f>
        <v>203</v>
      </c>
      <c r="L377" s="127">
        <f>L378</f>
        <v>14</v>
      </c>
      <c r="M377" s="126" t="s">
        <v>916</v>
      </c>
      <c r="N377" s="126" t="s">
        <v>916</v>
      </c>
      <c r="O377" s="124" t="s">
        <v>916</v>
      </c>
      <c r="P377" s="118">
        <v>2727875.44</v>
      </c>
      <c r="Q377" s="118">
        <f>Q378</f>
        <v>0</v>
      </c>
      <c r="R377" s="118">
        <f>R378</f>
        <v>0</v>
      </c>
      <c r="S377" s="118">
        <f>S378</f>
        <v>2727875.44</v>
      </c>
      <c r="T377" s="118">
        <f t="shared" si="45"/>
        <v>7274.3345066666661</v>
      </c>
      <c r="U377" s="118">
        <f>U378</f>
        <v>11672.060369690724</v>
      </c>
      <c r="V377" s="183">
        <f t="shared" si="46"/>
        <v>4397.7258630240576</v>
      </c>
      <c r="W377" s="183"/>
      <c r="X377" s="183"/>
      <c r="Y377" s="64" t="e">
        <f t="shared" si="47"/>
        <v>#N/A</v>
      </c>
      <c r="AA377" s="64" t="e">
        <f t="shared" si="48"/>
        <v>#N/A</v>
      </c>
      <c r="AC377" s="64" t="s">
        <v>431</v>
      </c>
      <c r="AD377" s="64">
        <v>600</v>
      </c>
      <c r="AH377" s="64" t="e">
        <f t="shared" si="49"/>
        <v>#N/A</v>
      </c>
      <c r="AS377" s="64" t="e">
        <f t="shared" si="50"/>
        <v>#N/A</v>
      </c>
    </row>
    <row r="378" spans="1:194" s="64" customFormat="1" ht="36" customHeight="1" x14ac:dyDescent="0.9">
      <c r="A378" s="64">
        <v>1</v>
      </c>
      <c r="B378" s="92">
        <f>SUBTOTAL(103,$A$16:A378)</f>
        <v>339</v>
      </c>
      <c r="C378" s="91" t="s">
        <v>122</v>
      </c>
      <c r="D378" s="126">
        <v>1966</v>
      </c>
      <c r="E378" s="126"/>
      <c r="F378" s="145" t="s">
        <v>273</v>
      </c>
      <c r="G378" s="126">
        <v>2</v>
      </c>
      <c r="H378" s="126">
        <v>1</v>
      </c>
      <c r="I378" s="118">
        <v>375</v>
      </c>
      <c r="J378" s="118">
        <v>310.39999999999998</v>
      </c>
      <c r="K378" s="118">
        <v>203</v>
      </c>
      <c r="L378" s="127">
        <v>14</v>
      </c>
      <c r="M378" s="126" t="s">
        <v>271</v>
      </c>
      <c r="N378" s="126" t="s">
        <v>272</v>
      </c>
      <c r="O378" s="124" t="s">
        <v>274</v>
      </c>
      <c r="P378" s="118">
        <v>2727875.44</v>
      </c>
      <c r="Q378" s="118">
        <v>0</v>
      </c>
      <c r="R378" s="118">
        <v>0</v>
      </c>
      <c r="S378" s="118">
        <f>P378-Q378-R378</f>
        <v>2727875.44</v>
      </c>
      <c r="T378" s="118">
        <f t="shared" si="45"/>
        <v>7274.3345066666661</v>
      </c>
      <c r="U378" s="118">
        <f>Y378+AG378</f>
        <v>11672.060369690724</v>
      </c>
      <c r="V378" s="183">
        <f t="shared" si="46"/>
        <v>4397.7258630240576</v>
      </c>
      <c r="W378" s="183"/>
      <c r="X378" s="183"/>
      <c r="Y378" s="64">
        <f t="shared" si="47"/>
        <v>4359.8548799999999</v>
      </c>
      <c r="AA378" s="64">
        <f t="shared" si="48"/>
        <v>313.10000000000002</v>
      </c>
      <c r="AC378" s="64" t="s">
        <v>432</v>
      </c>
      <c r="AD378" s="64">
        <v>462</v>
      </c>
      <c r="AG378" s="64">
        <f>AH378*6191.24/J378</f>
        <v>7312.205489690723</v>
      </c>
      <c r="AH378" s="64">
        <f t="shared" si="49"/>
        <v>366.6</v>
      </c>
      <c r="AS378" s="64" t="e">
        <f t="shared" si="50"/>
        <v>#N/A</v>
      </c>
    </row>
    <row r="379" spans="1:194" s="64" customFormat="1" ht="36" customHeight="1" x14ac:dyDescent="0.9">
      <c r="B379" s="91" t="s">
        <v>858</v>
      </c>
      <c r="C379" s="91"/>
      <c r="D379" s="126" t="s">
        <v>916</v>
      </c>
      <c r="E379" s="126" t="s">
        <v>916</v>
      </c>
      <c r="F379" s="126" t="s">
        <v>916</v>
      </c>
      <c r="G379" s="126" t="s">
        <v>916</v>
      </c>
      <c r="H379" s="126" t="s">
        <v>916</v>
      </c>
      <c r="I379" s="117">
        <f>I380</f>
        <v>1156.21</v>
      </c>
      <c r="J379" s="117">
        <f>J380</f>
        <v>880.01</v>
      </c>
      <c r="K379" s="117">
        <f>K380</f>
        <v>880.01</v>
      </c>
      <c r="L379" s="127">
        <f>L380</f>
        <v>34</v>
      </c>
      <c r="M379" s="126" t="s">
        <v>916</v>
      </c>
      <c r="N379" s="126" t="s">
        <v>916</v>
      </c>
      <c r="O379" s="124" t="s">
        <v>916</v>
      </c>
      <c r="P379" s="118">
        <v>3866903.76</v>
      </c>
      <c r="Q379" s="118">
        <f>Q380</f>
        <v>0</v>
      </c>
      <c r="R379" s="118">
        <f>R380</f>
        <v>0</v>
      </c>
      <c r="S379" s="118">
        <f>S380</f>
        <v>3866903.76</v>
      </c>
      <c r="T379" s="118">
        <f t="shared" si="45"/>
        <v>3344.4648982451281</v>
      </c>
      <c r="U379" s="118">
        <f>T379</f>
        <v>3344.4648982451281</v>
      </c>
      <c r="V379" s="183">
        <f t="shared" si="46"/>
        <v>0</v>
      </c>
      <c r="W379" s="183"/>
      <c r="X379" s="183"/>
      <c r="Y379" s="64" t="e">
        <f t="shared" si="47"/>
        <v>#N/A</v>
      </c>
      <c r="AA379" s="64" t="e">
        <f t="shared" si="48"/>
        <v>#N/A</v>
      </c>
      <c r="AC379" s="64" t="s">
        <v>1675</v>
      </c>
      <c r="AD379" s="64">
        <v>911</v>
      </c>
      <c r="AH379" s="64" t="e">
        <f t="shared" si="49"/>
        <v>#N/A</v>
      </c>
      <c r="AS379" s="64" t="e">
        <f t="shared" si="50"/>
        <v>#N/A</v>
      </c>
    </row>
    <row r="380" spans="1:194" s="64" customFormat="1" ht="36" customHeight="1" x14ac:dyDescent="0.9">
      <c r="A380" s="64">
        <v>1</v>
      </c>
      <c r="B380" s="92">
        <f>SUBTOTAL(103,$A$16:A380)</f>
        <v>340</v>
      </c>
      <c r="C380" s="91" t="s">
        <v>123</v>
      </c>
      <c r="D380" s="126">
        <v>1990</v>
      </c>
      <c r="E380" s="126"/>
      <c r="F380" s="145" t="s">
        <v>273</v>
      </c>
      <c r="G380" s="126">
        <v>2</v>
      </c>
      <c r="H380" s="126">
        <v>3</v>
      </c>
      <c r="I380" s="118">
        <v>1156.21</v>
      </c>
      <c r="J380" s="118">
        <v>880.01</v>
      </c>
      <c r="K380" s="118">
        <v>880.01</v>
      </c>
      <c r="L380" s="127">
        <v>34</v>
      </c>
      <c r="M380" s="126" t="s">
        <v>271</v>
      </c>
      <c r="N380" s="126" t="s">
        <v>272</v>
      </c>
      <c r="O380" s="124" t="s">
        <v>274</v>
      </c>
      <c r="P380" s="118">
        <v>3866903.76</v>
      </c>
      <c r="Q380" s="118">
        <v>0</v>
      </c>
      <c r="R380" s="118">
        <v>0</v>
      </c>
      <c r="S380" s="118">
        <f>P380-Q380-R380</f>
        <v>3866903.76</v>
      </c>
      <c r="T380" s="118">
        <f t="shared" si="45"/>
        <v>3344.4648982451281</v>
      </c>
      <c r="U380" s="118">
        <f>T380</f>
        <v>3344.4648982451281</v>
      </c>
      <c r="V380" s="183">
        <f t="shared" si="46"/>
        <v>0</v>
      </c>
      <c r="W380" s="183"/>
      <c r="X380" s="183"/>
      <c r="Y380" s="64">
        <f t="shared" si="47"/>
        <v>3076.9151987960663</v>
      </c>
      <c r="AA380" s="64">
        <f t="shared" si="48"/>
        <v>681.29</v>
      </c>
      <c r="AC380" s="64" t="s">
        <v>1706</v>
      </c>
      <c r="AD380" s="64">
        <v>846</v>
      </c>
      <c r="AH380" s="64" t="e">
        <f t="shared" si="49"/>
        <v>#N/A</v>
      </c>
      <c r="AS380" s="64" t="e">
        <f t="shared" si="50"/>
        <v>#N/A</v>
      </c>
    </row>
    <row r="381" spans="1:194" s="64" customFormat="1" ht="36" customHeight="1" x14ac:dyDescent="0.9">
      <c r="B381" s="91" t="s">
        <v>859</v>
      </c>
      <c r="C381" s="172"/>
      <c r="D381" s="126" t="s">
        <v>916</v>
      </c>
      <c r="E381" s="126" t="s">
        <v>916</v>
      </c>
      <c r="F381" s="126" t="s">
        <v>916</v>
      </c>
      <c r="G381" s="126" t="s">
        <v>916</v>
      </c>
      <c r="H381" s="126" t="s">
        <v>916</v>
      </c>
      <c r="I381" s="117">
        <f>SUM(I382:I385)</f>
        <v>2599.7999999999997</v>
      </c>
      <c r="J381" s="117">
        <f>SUM(J382:J385)</f>
        <v>2293.7000000000003</v>
      </c>
      <c r="K381" s="117">
        <f>SUM(K382:K385)</f>
        <v>2259.4</v>
      </c>
      <c r="L381" s="127">
        <f>SUM(L382:L385)</f>
        <v>115</v>
      </c>
      <c r="M381" s="126" t="s">
        <v>916</v>
      </c>
      <c r="N381" s="126" t="s">
        <v>916</v>
      </c>
      <c r="O381" s="124" t="s">
        <v>916</v>
      </c>
      <c r="P381" s="117">
        <v>11389569.279999999</v>
      </c>
      <c r="Q381" s="117">
        <f>SUM(Q382:Q385)</f>
        <v>0</v>
      </c>
      <c r="R381" s="117">
        <f>SUM(R382:R385)</f>
        <v>0</v>
      </c>
      <c r="S381" s="117">
        <f>SUM(S382:S385)</f>
        <v>11389569.279999999</v>
      </c>
      <c r="T381" s="118">
        <f t="shared" ref="T381:T443" si="53">P381/I381</f>
        <v>4380.9405646588202</v>
      </c>
      <c r="U381" s="118">
        <f>MAX(U382:U385)</f>
        <v>6042.0526341111372</v>
      </c>
      <c r="V381" s="183">
        <f t="shared" si="46"/>
        <v>1661.112069452317</v>
      </c>
      <c r="W381" s="183"/>
      <c r="X381" s="183"/>
      <c r="Y381" s="64" t="e">
        <f t="shared" si="47"/>
        <v>#N/A</v>
      </c>
      <c r="AA381" s="64" t="e">
        <f t="shared" si="48"/>
        <v>#N/A</v>
      </c>
      <c r="AC381" s="64" t="s">
        <v>1707</v>
      </c>
      <c r="AD381" s="64">
        <v>600</v>
      </c>
      <c r="AH381" s="64" t="e">
        <f t="shared" si="49"/>
        <v>#N/A</v>
      </c>
      <c r="AS381" s="64" t="e">
        <f t="shared" si="50"/>
        <v>#N/A</v>
      </c>
    </row>
    <row r="382" spans="1:194" s="64" customFormat="1" ht="36" customHeight="1" x14ac:dyDescent="0.9">
      <c r="A382" s="64">
        <v>1</v>
      </c>
      <c r="B382" s="92">
        <f>SUBTOTAL(103,$A$16:A382)</f>
        <v>341</v>
      </c>
      <c r="C382" s="91" t="s">
        <v>174</v>
      </c>
      <c r="D382" s="126">
        <v>1957</v>
      </c>
      <c r="E382" s="126"/>
      <c r="F382" s="145" t="s">
        <v>273</v>
      </c>
      <c r="G382" s="126">
        <v>2</v>
      </c>
      <c r="H382" s="126">
        <v>2</v>
      </c>
      <c r="I382" s="118">
        <v>765.1</v>
      </c>
      <c r="J382" s="118">
        <v>686.7</v>
      </c>
      <c r="K382" s="118">
        <v>686.7</v>
      </c>
      <c r="L382" s="127">
        <v>26</v>
      </c>
      <c r="M382" s="126" t="s">
        <v>271</v>
      </c>
      <c r="N382" s="126" t="s">
        <v>345</v>
      </c>
      <c r="O382" s="124" t="s">
        <v>1027</v>
      </c>
      <c r="P382" s="118">
        <v>3297577.4</v>
      </c>
      <c r="Q382" s="118">
        <v>0</v>
      </c>
      <c r="R382" s="118">
        <v>0</v>
      </c>
      <c r="S382" s="118">
        <f>P382-Q382-R382</f>
        <v>3297577.4</v>
      </c>
      <c r="T382" s="118">
        <f t="shared" si="53"/>
        <v>4309.9952947327147</v>
      </c>
      <c r="U382" s="118">
        <f>Y382</f>
        <v>4629.3908508691675</v>
      </c>
      <c r="V382" s="183">
        <f t="shared" si="46"/>
        <v>319.3955561364528</v>
      </c>
      <c r="W382" s="183"/>
      <c r="X382" s="183"/>
      <c r="Y382" s="64">
        <f t="shared" si="47"/>
        <v>4629.3908508691675</v>
      </c>
      <c r="AA382" s="64">
        <f t="shared" si="48"/>
        <v>678.3</v>
      </c>
      <c r="AC382" s="64" t="s">
        <v>798</v>
      </c>
      <c r="AD382" s="64">
        <v>690</v>
      </c>
      <c r="AH382" s="64" t="e">
        <f t="shared" si="49"/>
        <v>#N/A</v>
      </c>
      <c r="AS382" s="64" t="e">
        <f t="shared" si="50"/>
        <v>#N/A</v>
      </c>
    </row>
    <row r="383" spans="1:194" s="64" customFormat="1" ht="36" customHeight="1" x14ac:dyDescent="0.9">
      <c r="A383" s="64">
        <v>1</v>
      </c>
      <c r="B383" s="92">
        <f>SUBTOTAL(103,$A$16:A383)</f>
        <v>342</v>
      </c>
      <c r="C383" s="91" t="s">
        <v>175</v>
      </c>
      <c r="D383" s="126">
        <v>1957</v>
      </c>
      <c r="E383" s="126"/>
      <c r="F383" s="145" t="s">
        <v>273</v>
      </c>
      <c r="G383" s="126">
        <v>2</v>
      </c>
      <c r="H383" s="126">
        <v>2</v>
      </c>
      <c r="I383" s="118">
        <v>415.7</v>
      </c>
      <c r="J383" s="118">
        <v>368.1</v>
      </c>
      <c r="K383" s="118">
        <v>368.1</v>
      </c>
      <c r="L383" s="127">
        <v>23</v>
      </c>
      <c r="M383" s="126" t="s">
        <v>271</v>
      </c>
      <c r="N383" s="126" t="s">
        <v>345</v>
      </c>
      <c r="O383" s="124" t="s">
        <v>835</v>
      </c>
      <c r="P383" s="118">
        <v>2511681.2799999998</v>
      </c>
      <c r="Q383" s="118">
        <v>0</v>
      </c>
      <c r="R383" s="118">
        <v>0</v>
      </c>
      <c r="S383" s="118">
        <f>P383-Q383-R383</f>
        <v>2511681.2799999998</v>
      </c>
      <c r="T383" s="118">
        <f t="shared" si="53"/>
        <v>6042.0526341111372</v>
      </c>
      <c r="U383" s="118">
        <f>T383</f>
        <v>6042.0526341111372</v>
      </c>
      <c r="V383" s="183">
        <f t="shared" si="46"/>
        <v>0</v>
      </c>
      <c r="W383" s="183"/>
      <c r="X383" s="183"/>
      <c r="Y383" s="64" t="e">
        <f t="shared" si="47"/>
        <v>#N/A</v>
      </c>
      <c r="AA383" s="64" t="e">
        <f t="shared" si="48"/>
        <v>#N/A</v>
      </c>
      <c r="AC383" s="64" t="s">
        <v>1105</v>
      </c>
      <c r="AD383" s="64">
        <v>590</v>
      </c>
      <c r="AG383" s="64">
        <f>AH383*6191.24/J383</f>
        <v>5651.3356153219229</v>
      </c>
      <c r="AH383" s="64">
        <f t="shared" si="49"/>
        <v>336</v>
      </c>
      <c r="AS383" s="64" t="e">
        <f t="shared" si="50"/>
        <v>#N/A</v>
      </c>
    </row>
    <row r="384" spans="1:194" s="64" customFormat="1" ht="36" customHeight="1" x14ac:dyDescent="0.9">
      <c r="A384" s="64">
        <v>1</v>
      </c>
      <c r="B384" s="92">
        <f>SUBTOTAL(103,$A$16:A384)</f>
        <v>343</v>
      </c>
      <c r="C384" s="91" t="s">
        <v>173</v>
      </c>
      <c r="D384" s="126">
        <v>1983</v>
      </c>
      <c r="E384" s="126"/>
      <c r="F384" s="145" t="s">
        <v>273</v>
      </c>
      <c r="G384" s="126">
        <v>2</v>
      </c>
      <c r="H384" s="126">
        <v>3</v>
      </c>
      <c r="I384" s="118">
        <v>1093.4000000000001</v>
      </c>
      <c r="J384" s="118">
        <v>943.9</v>
      </c>
      <c r="K384" s="118">
        <v>943.9</v>
      </c>
      <c r="L384" s="127">
        <v>45</v>
      </c>
      <c r="M384" s="126" t="s">
        <v>271</v>
      </c>
      <c r="N384" s="126" t="s">
        <v>345</v>
      </c>
      <c r="O384" s="124" t="s">
        <v>835</v>
      </c>
      <c r="P384" s="118">
        <v>4462496.1199999992</v>
      </c>
      <c r="Q384" s="118">
        <v>0</v>
      </c>
      <c r="R384" s="118">
        <v>0</v>
      </c>
      <c r="S384" s="118">
        <f>P384-Q384-R384</f>
        <v>4462496.1199999992</v>
      </c>
      <c r="T384" s="118">
        <f t="shared" si="53"/>
        <v>4081.302469361623</v>
      </c>
      <c r="U384" s="118">
        <v>4125.8327236144132</v>
      </c>
      <c r="V384" s="183">
        <f t="shared" si="46"/>
        <v>44.530254252790201</v>
      </c>
      <c r="W384" s="183"/>
      <c r="X384" s="183"/>
      <c r="Y384" s="64" t="e">
        <f t="shared" si="47"/>
        <v>#N/A</v>
      </c>
      <c r="AA384" s="64" t="e">
        <f t="shared" si="48"/>
        <v>#N/A</v>
      </c>
      <c r="AC384" s="64" t="s">
        <v>803</v>
      </c>
      <c r="AD384" s="64">
        <v>1154</v>
      </c>
      <c r="AH384" s="64" t="e">
        <f t="shared" si="49"/>
        <v>#N/A</v>
      </c>
      <c r="AS384" s="64" t="e">
        <f t="shared" si="50"/>
        <v>#N/A</v>
      </c>
    </row>
    <row r="385" spans="1:45" s="64" customFormat="1" ht="36" customHeight="1" x14ac:dyDescent="0.9">
      <c r="A385" s="64">
        <v>1</v>
      </c>
      <c r="B385" s="92">
        <f>SUBTOTAL(103,$A$16:A385)</f>
        <v>344</v>
      </c>
      <c r="C385" s="91" t="s">
        <v>1624</v>
      </c>
      <c r="D385" s="126">
        <v>1967</v>
      </c>
      <c r="E385" s="126"/>
      <c r="F385" s="145" t="s">
        <v>1626</v>
      </c>
      <c r="G385" s="126">
        <v>2</v>
      </c>
      <c r="H385" s="126">
        <v>1</v>
      </c>
      <c r="I385" s="118">
        <v>325.60000000000002</v>
      </c>
      <c r="J385" s="118">
        <v>295</v>
      </c>
      <c r="K385" s="118">
        <f>J385-34.3</f>
        <v>260.7</v>
      </c>
      <c r="L385" s="127">
        <v>21</v>
      </c>
      <c r="M385" s="126" t="s">
        <v>271</v>
      </c>
      <c r="N385" s="126" t="s">
        <v>345</v>
      </c>
      <c r="O385" s="124" t="s">
        <v>835</v>
      </c>
      <c r="P385" s="118">
        <v>1117814.48</v>
      </c>
      <c r="Q385" s="118">
        <v>0</v>
      </c>
      <c r="R385" s="118">
        <v>0</v>
      </c>
      <c r="S385" s="118">
        <f>P385-R385-Q385</f>
        <v>1117814.48</v>
      </c>
      <c r="T385" s="118">
        <f t="shared" si="53"/>
        <v>3433.0911547911546</v>
      </c>
      <c r="U385" s="118">
        <f>T385</f>
        <v>3433.0911547911546</v>
      </c>
      <c r="V385" s="183">
        <f t="shared" si="46"/>
        <v>0</v>
      </c>
      <c r="W385" s="183"/>
      <c r="X385" s="183"/>
      <c r="Y385" s="64">
        <f t="shared" si="47"/>
        <v>2758.4447174447173</v>
      </c>
      <c r="AA385" s="64">
        <f t="shared" si="48"/>
        <v>172</v>
      </c>
      <c r="AC385" s="64" t="s">
        <v>1654</v>
      </c>
      <c r="AD385" s="64">
        <v>778</v>
      </c>
      <c r="AH385" s="64" t="e">
        <f t="shared" si="49"/>
        <v>#N/A</v>
      </c>
      <c r="AS385" s="64" t="e">
        <f t="shared" si="50"/>
        <v>#N/A</v>
      </c>
    </row>
    <row r="386" spans="1:45" s="64" customFormat="1" ht="36" customHeight="1" x14ac:dyDescent="0.9">
      <c r="B386" s="91" t="s">
        <v>860</v>
      </c>
      <c r="C386" s="91"/>
      <c r="D386" s="126" t="s">
        <v>916</v>
      </c>
      <c r="E386" s="126" t="s">
        <v>916</v>
      </c>
      <c r="F386" s="126" t="s">
        <v>916</v>
      </c>
      <c r="G386" s="126" t="s">
        <v>916</v>
      </c>
      <c r="H386" s="126" t="s">
        <v>916</v>
      </c>
      <c r="I386" s="117">
        <f>SUM(I387:I388)</f>
        <v>1157</v>
      </c>
      <c r="J386" s="117">
        <f>SUM(J387:J388)</f>
        <v>1036</v>
      </c>
      <c r="K386" s="117">
        <f>SUM(K387:K388)</f>
        <v>991</v>
      </c>
      <c r="L386" s="127">
        <f>SUM(L387:L388)</f>
        <v>49</v>
      </c>
      <c r="M386" s="126" t="s">
        <v>916</v>
      </c>
      <c r="N386" s="126" t="s">
        <v>916</v>
      </c>
      <c r="O386" s="124" t="s">
        <v>916</v>
      </c>
      <c r="P386" s="118">
        <v>4635021.79</v>
      </c>
      <c r="Q386" s="118">
        <f>Q387+Q388</f>
        <v>0</v>
      </c>
      <c r="R386" s="118">
        <f>R387+R388</f>
        <v>0</v>
      </c>
      <c r="S386" s="118">
        <f>S387+S388</f>
        <v>4635021.79</v>
      </c>
      <c r="T386" s="118">
        <f t="shared" si="53"/>
        <v>4006.0689628349178</v>
      </c>
      <c r="U386" s="118">
        <f>MAX(U387:U388)</f>
        <v>5110.039144736842</v>
      </c>
      <c r="V386" s="183">
        <f t="shared" si="46"/>
        <v>1103.9701819019242</v>
      </c>
      <c r="W386" s="183"/>
      <c r="X386" s="183"/>
      <c r="Y386" s="64" t="e">
        <f t="shared" si="47"/>
        <v>#N/A</v>
      </c>
      <c r="AA386" s="64" t="e">
        <f t="shared" si="48"/>
        <v>#N/A</v>
      </c>
      <c r="AC386" s="64" t="s">
        <v>630</v>
      </c>
      <c r="AD386" s="64">
        <v>773</v>
      </c>
      <c r="AH386" s="64" t="e">
        <f t="shared" si="49"/>
        <v>#N/A</v>
      </c>
      <c r="AS386" s="64" t="e">
        <f t="shared" si="50"/>
        <v>#N/A</v>
      </c>
    </row>
    <row r="387" spans="1:45" s="64" customFormat="1" ht="36" customHeight="1" x14ac:dyDescent="0.9">
      <c r="A387" s="64">
        <v>1</v>
      </c>
      <c r="B387" s="92">
        <f>SUBTOTAL(103,$A$16:A387)</f>
        <v>345</v>
      </c>
      <c r="C387" s="91" t="s">
        <v>172</v>
      </c>
      <c r="D387" s="126">
        <v>1956</v>
      </c>
      <c r="E387" s="126"/>
      <c r="F387" s="145" t="s">
        <v>273</v>
      </c>
      <c r="G387" s="126">
        <v>2</v>
      </c>
      <c r="H387" s="126">
        <v>2</v>
      </c>
      <c r="I387" s="118">
        <v>456</v>
      </c>
      <c r="J387" s="118">
        <v>399</v>
      </c>
      <c r="K387" s="118">
        <v>399</v>
      </c>
      <c r="L387" s="127">
        <v>16</v>
      </c>
      <c r="M387" s="126" t="s">
        <v>271</v>
      </c>
      <c r="N387" s="126" t="s">
        <v>345</v>
      </c>
      <c r="O387" s="124" t="s">
        <v>1028</v>
      </c>
      <c r="P387" s="118">
        <v>2330177.85</v>
      </c>
      <c r="Q387" s="118">
        <v>0</v>
      </c>
      <c r="R387" s="118">
        <v>0</v>
      </c>
      <c r="S387" s="118">
        <f>P387-Q387-R387</f>
        <v>2330177.85</v>
      </c>
      <c r="T387" s="118">
        <f t="shared" si="53"/>
        <v>5110.039144736842</v>
      </c>
      <c r="U387" s="118">
        <f>T387</f>
        <v>5110.039144736842</v>
      </c>
      <c r="V387" s="183">
        <f t="shared" si="46"/>
        <v>0</v>
      </c>
      <c r="W387" s="183"/>
      <c r="X387" s="183"/>
      <c r="Y387" s="64">
        <f t="shared" si="47"/>
        <v>4727.332184210527</v>
      </c>
      <c r="AA387" s="64">
        <f t="shared" si="48"/>
        <v>412.82</v>
      </c>
      <c r="AC387" s="64" t="s">
        <v>631</v>
      </c>
      <c r="AD387" s="64">
        <v>1050</v>
      </c>
      <c r="AH387" s="64" t="e">
        <f t="shared" si="49"/>
        <v>#N/A</v>
      </c>
      <c r="AS387" s="64" t="e">
        <f t="shared" si="50"/>
        <v>#N/A</v>
      </c>
    </row>
    <row r="388" spans="1:45" s="64" customFormat="1" ht="36" customHeight="1" x14ac:dyDescent="0.9">
      <c r="A388" s="64">
        <v>1</v>
      </c>
      <c r="B388" s="92">
        <f>SUBTOTAL(103,$A$16:A388)</f>
        <v>346</v>
      </c>
      <c r="C388" s="91" t="s">
        <v>1261</v>
      </c>
      <c r="D388" s="126">
        <v>1960</v>
      </c>
      <c r="E388" s="126"/>
      <c r="F388" s="145" t="s">
        <v>273</v>
      </c>
      <c r="G388" s="126">
        <v>2</v>
      </c>
      <c r="H388" s="126">
        <v>2</v>
      </c>
      <c r="I388" s="118">
        <v>701</v>
      </c>
      <c r="J388" s="118">
        <v>637</v>
      </c>
      <c r="K388" s="118">
        <v>592</v>
      </c>
      <c r="L388" s="127">
        <v>33</v>
      </c>
      <c r="M388" s="126" t="s">
        <v>271</v>
      </c>
      <c r="N388" s="126" t="s">
        <v>275</v>
      </c>
      <c r="O388" s="124" t="s">
        <v>1028</v>
      </c>
      <c r="P388" s="118">
        <v>2304843.94</v>
      </c>
      <c r="Q388" s="118">
        <v>0</v>
      </c>
      <c r="R388" s="118">
        <v>0</v>
      </c>
      <c r="S388" s="118">
        <f>P388-Q388-R388</f>
        <v>2304843.94</v>
      </c>
      <c r="T388" s="118">
        <f t="shared" si="53"/>
        <v>3287.9371469329531</v>
      </c>
      <c r="U388" s="118">
        <v>3697.55</v>
      </c>
      <c r="V388" s="183">
        <f t="shared" si="46"/>
        <v>409.61285306704713</v>
      </c>
      <c r="W388" s="183"/>
      <c r="X388" s="183"/>
      <c r="Y388" s="64" t="e">
        <f t="shared" si="47"/>
        <v>#N/A</v>
      </c>
      <c r="AA388" s="64" t="e">
        <f t="shared" si="48"/>
        <v>#N/A</v>
      </c>
      <c r="AC388" s="64" t="s">
        <v>632</v>
      </c>
      <c r="AD388" s="64">
        <v>945</v>
      </c>
      <c r="AH388" s="64" t="e">
        <f t="shared" si="49"/>
        <v>#N/A</v>
      </c>
      <c r="AS388" s="64" t="e">
        <f t="shared" si="50"/>
        <v>#N/A</v>
      </c>
    </row>
    <row r="389" spans="1:45" s="64" customFormat="1" ht="36" customHeight="1" x14ac:dyDescent="0.9">
      <c r="B389" s="91" t="s">
        <v>862</v>
      </c>
      <c r="C389" s="91"/>
      <c r="D389" s="126" t="s">
        <v>916</v>
      </c>
      <c r="E389" s="126" t="s">
        <v>916</v>
      </c>
      <c r="F389" s="126" t="s">
        <v>916</v>
      </c>
      <c r="G389" s="126" t="s">
        <v>916</v>
      </c>
      <c r="H389" s="126" t="s">
        <v>916</v>
      </c>
      <c r="I389" s="117">
        <f>I390</f>
        <v>407.9</v>
      </c>
      <c r="J389" s="117">
        <f>J390</f>
        <v>352.3</v>
      </c>
      <c r="K389" s="117">
        <f>K390</f>
        <v>308.3</v>
      </c>
      <c r="L389" s="127">
        <f>L390</f>
        <v>24</v>
      </c>
      <c r="M389" s="126" t="s">
        <v>916</v>
      </c>
      <c r="N389" s="126" t="s">
        <v>916</v>
      </c>
      <c r="O389" s="124" t="s">
        <v>916</v>
      </c>
      <c r="P389" s="118">
        <v>1547699.36</v>
      </c>
      <c r="Q389" s="118">
        <f>Q390</f>
        <v>0</v>
      </c>
      <c r="R389" s="118">
        <f>R390</f>
        <v>0</v>
      </c>
      <c r="S389" s="118">
        <f>S390</f>
        <v>1547699.36</v>
      </c>
      <c r="T389" s="118">
        <f t="shared" si="53"/>
        <v>3794.3107624417753</v>
      </c>
      <c r="U389" s="118">
        <f>U390</f>
        <v>4303.1523706790886</v>
      </c>
      <c r="V389" s="183">
        <f t="shared" si="46"/>
        <v>508.84160823731327</v>
      </c>
      <c r="W389" s="183"/>
      <c r="X389" s="183"/>
      <c r="Y389" s="64" t="e">
        <f t="shared" si="47"/>
        <v>#N/A</v>
      </c>
      <c r="AA389" s="64" t="e">
        <f t="shared" si="48"/>
        <v>#N/A</v>
      </c>
      <c r="AC389" s="64" t="s">
        <v>637</v>
      </c>
      <c r="AD389" s="64">
        <v>650</v>
      </c>
      <c r="AH389" s="64" t="e">
        <f t="shared" si="49"/>
        <v>#N/A</v>
      </c>
      <c r="AS389" s="64" t="e">
        <f t="shared" si="50"/>
        <v>#N/A</v>
      </c>
    </row>
    <row r="390" spans="1:45" s="64" customFormat="1" ht="36" customHeight="1" x14ac:dyDescent="0.9">
      <c r="A390" s="64">
        <v>1</v>
      </c>
      <c r="B390" s="92">
        <f>SUBTOTAL(103,$A$16:A390)</f>
        <v>347</v>
      </c>
      <c r="C390" s="91" t="s">
        <v>171</v>
      </c>
      <c r="D390" s="126">
        <v>1954</v>
      </c>
      <c r="E390" s="126"/>
      <c r="F390" s="145" t="s">
        <v>273</v>
      </c>
      <c r="G390" s="126">
        <v>2</v>
      </c>
      <c r="H390" s="126">
        <v>2</v>
      </c>
      <c r="I390" s="118">
        <v>407.9</v>
      </c>
      <c r="J390" s="118">
        <v>352.3</v>
      </c>
      <c r="K390" s="118">
        <v>308.3</v>
      </c>
      <c r="L390" s="127">
        <v>24</v>
      </c>
      <c r="M390" s="126" t="s">
        <v>271</v>
      </c>
      <c r="N390" s="126" t="s">
        <v>272</v>
      </c>
      <c r="O390" s="124" t="s">
        <v>274</v>
      </c>
      <c r="P390" s="118">
        <v>1547699.36</v>
      </c>
      <c r="Q390" s="118">
        <v>0</v>
      </c>
      <c r="R390" s="118">
        <v>0</v>
      </c>
      <c r="S390" s="118">
        <f>P390-Q390-R390</f>
        <v>1547699.36</v>
      </c>
      <c r="T390" s="118">
        <f t="shared" si="53"/>
        <v>3794.3107624417753</v>
      </c>
      <c r="U390" s="118">
        <f>Y390</f>
        <v>4303.1523706790886</v>
      </c>
      <c r="V390" s="183">
        <f t="shared" si="46"/>
        <v>508.84160823731327</v>
      </c>
      <c r="W390" s="183"/>
      <c r="X390" s="183"/>
      <c r="Y390" s="64">
        <f t="shared" si="47"/>
        <v>4303.1523706790886</v>
      </c>
      <c r="AA390" s="64">
        <f t="shared" si="48"/>
        <v>336.14</v>
      </c>
      <c r="AC390" s="64" t="s">
        <v>638</v>
      </c>
      <c r="AD390" s="64">
        <v>1040</v>
      </c>
      <c r="AH390" s="64" t="e">
        <f t="shared" si="49"/>
        <v>#N/A</v>
      </c>
      <c r="AS390" s="64" t="e">
        <f t="shared" si="50"/>
        <v>#N/A</v>
      </c>
    </row>
    <row r="391" spans="1:45" s="64" customFormat="1" ht="36" customHeight="1" x14ac:dyDescent="0.9">
      <c r="B391" s="91" t="s">
        <v>861</v>
      </c>
      <c r="C391" s="91"/>
      <c r="D391" s="126" t="s">
        <v>916</v>
      </c>
      <c r="E391" s="126" t="s">
        <v>916</v>
      </c>
      <c r="F391" s="126" t="s">
        <v>916</v>
      </c>
      <c r="G391" s="126" t="s">
        <v>916</v>
      </c>
      <c r="H391" s="126" t="s">
        <v>916</v>
      </c>
      <c r="I391" s="117">
        <f>SUM(I392:I395)</f>
        <v>2141.5</v>
      </c>
      <c r="J391" s="117">
        <f>SUM(J392:J395)</f>
        <v>1920.9</v>
      </c>
      <c r="K391" s="117">
        <f>SUM(K392:K395)</f>
        <v>1381.6</v>
      </c>
      <c r="L391" s="127">
        <f>SUM(L392:L395)</f>
        <v>79</v>
      </c>
      <c r="M391" s="126" t="s">
        <v>916</v>
      </c>
      <c r="N391" s="126" t="s">
        <v>916</v>
      </c>
      <c r="O391" s="124" t="s">
        <v>916</v>
      </c>
      <c r="P391" s="117">
        <v>7290181.6600000001</v>
      </c>
      <c r="Q391" s="117">
        <f>SUM(Q392:Q395)</f>
        <v>0</v>
      </c>
      <c r="R391" s="117">
        <f>SUM(R392:R395)</f>
        <v>0</v>
      </c>
      <c r="S391" s="117">
        <f>SUM(S392:S395)</f>
        <v>7290181.6600000001</v>
      </c>
      <c r="T391" s="118">
        <f t="shared" si="53"/>
        <v>3404.2407938360961</v>
      </c>
      <c r="U391" s="118">
        <f>MAX(U392:U395)</f>
        <v>7339.4438966384623</v>
      </c>
      <c r="V391" s="183">
        <f t="shared" si="46"/>
        <v>3935.2031028023662</v>
      </c>
      <c r="W391" s="183"/>
      <c r="X391" s="183"/>
      <c r="Y391" s="64" t="e">
        <f t="shared" si="47"/>
        <v>#N/A</v>
      </c>
      <c r="AA391" s="64" t="e">
        <f t="shared" si="48"/>
        <v>#N/A</v>
      </c>
      <c r="AC391" s="64" t="s">
        <v>636</v>
      </c>
      <c r="AD391" s="64">
        <v>937</v>
      </c>
      <c r="AH391" s="64" t="e">
        <f t="shared" si="49"/>
        <v>#N/A</v>
      </c>
      <c r="AS391" s="64" t="e">
        <f t="shared" si="50"/>
        <v>#N/A</v>
      </c>
    </row>
    <row r="392" spans="1:45" s="64" customFormat="1" ht="36" customHeight="1" x14ac:dyDescent="0.9">
      <c r="A392" s="64">
        <v>1</v>
      </c>
      <c r="B392" s="92">
        <f>SUBTOTAL(103,$A$16:A392)</f>
        <v>348</v>
      </c>
      <c r="C392" s="91" t="s">
        <v>186</v>
      </c>
      <c r="D392" s="126">
        <v>1955</v>
      </c>
      <c r="E392" s="126"/>
      <c r="F392" s="145" t="s">
        <v>273</v>
      </c>
      <c r="G392" s="126">
        <v>2</v>
      </c>
      <c r="H392" s="126">
        <v>1</v>
      </c>
      <c r="I392" s="118">
        <v>545.6</v>
      </c>
      <c r="J392" s="118">
        <v>501.6</v>
      </c>
      <c r="K392" s="118">
        <v>384.3</v>
      </c>
      <c r="L392" s="127">
        <v>27</v>
      </c>
      <c r="M392" s="126" t="s">
        <v>271</v>
      </c>
      <c r="N392" s="126" t="s">
        <v>272</v>
      </c>
      <c r="O392" s="124" t="s">
        <v>274</v>
      </c>
      <c r="P392" s="118">
        <v>1659429.9100000001</v>
      </c>
      <c r="Q392" s="118">
        <v>0</v>
      </c>
      <c r="R392" s="118">
        <v>0</v>
      </c>
      <c r="S392" s="118">
        <f>P392-Q392-R392</f>
        <v>1659429.9100000001</v>
      </c>
      <c r="T392" s="118">
        <f t="shared" si="53"/>
        <v>3041.4771077712612</v>
      </c>
      <c r="U392" s="118">
        <f>AG392</f>
        <v>4976.6905263157887</v>
      </c>
      <c r="V392" s="183">
        <f t="shared" si="46"/>
        <v>1935.2134185445275</v>
      </c>
      <c r="W392" s="183"/>
      <c r="X392" s="183"/>
      <c r="Y392" s="64" t="e">
        <f t="shared" si="47"/>
        <v>#N/A</v>
      </c>
      <c r="AA392" s="64" t="e">
        <f t="shared" si="48"/>
        <v>#N/A</v>
      </c>
      <c r="AC392" s="64" t="s">
        <v>627</v>
      </c>
      <c r="AD392" s="64">
        <v>559.6</v>
      </c>
      <c r="AG392" s="64">
        <f>AH392*6191.24/J392</f>
        <v>4976.6905263157887</v>
      </c>
      <c r="AH392" s="64">
        <f t="shared" si="49"/>
        <v>403.2</v>
      </c>
      <c r="AS392" s="64" t="e">
        <f t="shared" si="50"/>
        <v>#N/A</v>
      </c>
    </row>
    <row r="393" spans="1:45" s="64" customFormat="1" ht="36" customHeight="1" x14ac:dyDescent="0.9">
      <c r="A393" s="64">
        <v>1</v>
      </c>
      <c r="B393" s="92">
        <f>SUBTOTAL(103,$A$16:A393)</f>
        <v>349</v>
      </c>
      <c r="C393" s="91" t="s">
        <v>1259</v>
      </c>
      <c r="D393" s="126">
        <v>1965</v>
      </c>
      <c r="E393" s="126"/>
      <c r="F393" s="145" t="s">
        <v>273</v>
      </c>
      <c r="G393" s="126">
        <v>2</v>
      </c>
      <c r="H393" s="126">
        <v>2</v>
      </c>
      <c r="I393" s="118">
        <v>527.5</v>
      </c>
      <c r="J393" s="118">
        <v>437.3</v>
      </c>
      <c r="K393" s="118">
        <v>292.89999999999998</v>
      </c>
      <c r="L393" s="127">
        <v>14</v>
      </c>
      <c r="M393" s="126" t="s">
        <v>271</v>
      </c>
      <c r="N393" s="126" t="s">
        <v>275</v>
      </c>
      <c r="O393" s="124" t="s">
        <v>1364</v>
      </c>
      <c r="P393" s="118">
        <v>1919023.42</v>
      </c>
      <c r="Q393" s="118">
        <v>0</v>
      </c>
      <c r="R393" s="118">
        <v>0</v>
      </c>
      <c r="S393" s="118">
        <f>P393-Q393-R393</f>
        <v>1919023.42</v>
      </c>
      <c r="T393" s="118">
        <f t="shared" si="53"/>
        <v>3637.9590900473931</v>
      </c>
      <c r="U393" s="118">
        <f>AG393</f>
        <v>7339.4438966384623</v>
      </c>
      <c r="V393" s="183">
        <f t="shared" si="46"/>
        <v>3701.4848065910692</v>
      </c>
      <c r="W393" s="183"/>
      <c r="X393" s="183"/>
      <c r="Y393" s="64" t="e">
        <f t="shared" si="47"/>
        <v>#N/A</v>
      </c>
      <c r="AA393" s="64" t="e">
        <f t="shared" si="48"/>
        <v>#N/A</v>
      </c>
      <c r="AC393" s="64" t="s">
        <v>642</v>
      </c>
      <c r="AD393" s="64">
        <v>943</v>
      </c>
      <c r="AG393" s="64">
        <f>AH393*6191.24/J393</f>
        <v>7339.4438966384623</v>
      </c>
      <c r="AH393" s="64">
        <f t="shared" si="49"/>
        <v>518.4</v>
      </c>
      <c r="AS393" s="64" t="e">
        <f t="shared" si="50"/>
        <v>#N/A</v>
      </c>
    </row>
    <row r="394" spans="1:45" s="64" customFormat="1" ht="36" customHeight="1" x14ac:dyDescent="0.9">
      <c r="A394" s="64">
        <v>1</v>
      </c>
      <c r="B394" s="92">
        <f>SUBTOTAL(103,$A$16:A394)</f>
        <v>350</v>
      </c>
      <c r="C394" s="91" t="s">
        <v>1260</v>
      </c>
      <c r="D394" s="126">
        <v>1963</v>
      </c>
      <c r="E394" s="126"/>
      <c r="F394" s="145" t="s">
        <v>273</v>
      </c>
      <c r="G394" s="126">
        <v>2</v>
      </c>
      <c r="H394" s="126">
        <v>2</v>
      </c>
      <c r="I394" s="118">
        <v>662.7</v>
      </c>
      <c r="J394" s="118">
        <v>609.9</v>
      </c>
      <c r="K394" s="118">
        <v>419.4</v>
      </c>
      <c r="L394" s="127">
        <v>20</v>
      </c>
      <c r="M394" s="126" t="s">
        <v>271</v>
      </c>
      <c r="N394" s="126" t="s">
        <v>275</v>
      </c>
      <c r="O394" s="124" t="s">
        <v>1364</v>
      </c>
      <c r="P394" s="118">
        <v>2326738.3299999996</v>
      </c>
      <c r="Q394" s="118">
        <v>0</v>
      </c>
      <c r="R394" s="118">
        <v>0</v>
      </c>
      <c r="S394" s="118">
        <f>P394-Q394-R394</f>
        <v>2326738.3299999996</v>
      </c>
      <c r="T394" s="118">
        <f t="shared" si="53"/>
        <v>3510.9979326995617</v>
      </c>
      <c r="U394" s="118">
        <f>Y394</f>
        <v>4275.9347940244452</v>
      </c>
      <c r="V394" s="183">
        <f t="shared" si="46"/>
        <v>764.93686132488347</v>
      </c>
      <c r="W394" s="183"/>
      <c r="X394" s="183"/>
      <c r="Y394" s="64">
        <f t="shared" si="47"/>
        <v>4275.9347940244452</v>
      </c>
      <c r="AA394" s="64">
        <f t="shared" si="48"/>
        <v>542.66</v>
      </c>
      <c r="AC394" s="64" t="s">
        <v>641</v>
      </c>
      <c r="AD394" s="64">
        <v>530</v>
      </c>
      <c r="AH394" s="64" t="e">
        <f t="shared" si="49"/>
        <v>#N/A</v>
      </c>
      <c r="AS394" s="64" t="e">
        <f t="shared" si="50"/>
        <v>#N/A</v>
      </c>
    </row>
    <row r="395" spans="1:45" s="64" customFormat="1" ht="36" customHeight="1" x14ac:dyDescent="0.9">
      <c r="A395" s="64">
        <v>1</v>
      </c>
      <c r="B395" s="92">
        <f>SUBTOTAL(103,$A$16:A395)</f>
        <v>351</v>
      </c>
      <c r="C395" s="91" t="s">
        <v>1623</v>
      </c>
      <c r="D395" s="126">
        <v>1976</v>
      </c>
      <c r="E395" s="126"/>
      <c r="F395" s="145" t="s">
        <v>1626</v>
      </c>
      <c r="G395" s="126">
        <v>2</v>
      </c>
      <c r="H395" s="126">
        <v>1</v>
      </c>
      <c r="I395" s="118">
        <v>405.7</v>
      </c>
      <c r="J395" s="118">
        <v>372.1</v>
      </c>
      <c r="K395" s="118">
        <f>J395-87.1</f>
        <v>285</v>
      </c>
      <c r="L395" s="127">
        <v>18</v>
      </c>
      <c r="M395" s="126" t="s">
        <v>271</v>
      </c>
      <c r="N395" s="126" t="s">
        <v>272</v>
      </c>
      <c r="O395" s="124" t="s">
        <v>274</v>
      </c>
      <c r="P395" s="118">
        <v>1384990</v>
      </c>
      <c r="Q395" s="118">
        <v>0</v>
      </c>
      <c r="R395" s="118">
        <v>0</v>
      </c>
      <c r="S395" s="118">
        <f>P395-R395-Q395</f>
        <v>1384990</v>
      </c>
      <c r="T395" s="118">
        <f t="shared" si="53"/>
        <v>3413.82795168844</v>
      </c>
      <c r="U395" s="118">
        <v>3413.82795168844</v>
      </c>
      <c r="V395" s="183">
        <f t="shared" si="46"/>
        <v>0</v>
      </c>
      <c r="W395" s="183"/>
      <c r="X395" s="183"/>
      <c r="Y395" s="64" t="e">
        <f t="shared" si="47"/>
        <v>#N/A</v>
      </c>
      <c r="AA395" s="64" t="e">
        <f t="shared" si="48"/>
        <v>#N/A</v>
      </c>
      <c r="AC395" s="64" t="s">
        <v>653</v>
      </c>
      <c r="AD395" s="64">
        <v>1100</v>
      </c>
      <c r="AH395" s="64" t="e">
        <f t="shared" si="49"/>
        <v>#N/A</v>
      </c>
      <c r="AS395" s="64" t="e">
        <f t="shared" si="50"/>
        <v>#N/A</v>
      </c>
    </row>
    <row r="396" spans="1:45" s="64" customFormat="1" ht="36" customHeight="1" x14ac:dyDescent="0.9">
      <c r="B396" s="91" t="s">
        <v>896</v>
      </c>
      <c r="C396" s="91"/>
      <c r="D396" s="126" t="s">
        <v>916</v>
      </c>
      <c r="E396" s="126" t="s">
        <v>916</v>
      </c>
      <c r="F396" s="126" t="s">
        <v>916</v>
      </c>
      <c r="G396" s="126" t="s">
        <v>916</v>
      </c>
      <c r="H396" s="126" t="s">
        <v>916</v>
      </c>
      <c r="I396" s="117">
        <f>I397</f>
        <v>829.4</v>
      </c>
      <c r="J396" s="117">
        <f>J397</f>
        <v>758.4</v>
      </c>
      <c r="K396" s="117">
        <f>K397</f>
        <v>671.6</v>
      </c>
      <c r="L396" s="127">
        <f>L397</f>
        <v>24</v>
      </c>
      <c r="M396" s="126" t="s">
        <v>916</v>
      </c>
      <c r="N396" s="126" t="s">
        <v>916</v>
      </c>
      <c r="O396" s="124" t="s">
        <v>916</v>
      </c>
      <c r="P396" s="118">
        <v>3230853.85</v>
      </c>
      <c r="Q396" s="118">
        <f>Q397</f>
        <v>0</v>
      </c>
      <c r="R396" s="118">
        <f>R397</f>
        <v>0</v>
      </c>
      <c r="S396" s="118">
        <f>S397</f>
        <v>3230853.85</v>
      </c>
      <c r="T396" s="118">
        <f t="shared" si="53"/>
        <v>3895.4109597299253</v>
      </c>
      <c r="U396" s="118">
        <f>U397</f>
        <v>5735.3870970464131</v>
      </c>
      <c r="V396" s="183">
        <f t="shared" si="46"/>
        <v>1839.9761373164879</v>
      </c>
      <c r="W396" s="183"/>
      <c r="X396" s="183"/>
      <c r="Y396" s="64" t="e">
        <f t="shared" si="47"/>
        <v>#N/A</v>
      </c>
      <c r="AA396" s="64" t="e">
        <f t="shared" si="48"/>
        <v>#N/A</v>
      </c>
      <c r="AC396" s="64" t="s">
        <v>644</v>
      </c>
      <c r="AD396" s="64">
        <v>873.5</v>
      </c>
      <c r="AH396" s="64" t="e">
        <f t="shared" si="49"/>
        <v>#N/A</v>
      </c>
      <c r="AS396" s="64" t="e">
        <f t="shared" si="50"/>
        <v>#N/A</v>
      </c>
    </row>
    <row r="397" spans="1:45" s="64" customFormat="1" ht="36" customHeight="1" x14ac:dyDescent="0.9">
      <c r="A397" s="64">
        <v>1</v>
      </c>
      <c r="B397" s="92">
        <f>SUBTOTAL(103,$A$16:A397)</f>
        <v>352</v>
      </c>
      <c r="C397" s="91" t="s">
        <v>1262</v>
      </c>
      <c r="D397" s="126">
        <v>1972</v>
      </c>
      <c r="E397" s="126">
        <v>2010</v>
      </c>
      <c r="F397" s="145" t="s">
        <v>273</v>
      </c>
      <c r="G397" s="126">
        <v>2</v>
      </c>
      <c r="H397" s="126">
        <v>2</v>
      </c>
      <c r="I397" s="118">
        <v>829.4</v>
      </c>
      <c r="J397" s="118">
        <v>758.4</v>
      </c>
      <c r="K397" s="118">
        <v>671.6</v>
      </c>
      <c r="L397" s="127">
        <v>24</v>
      </c>
      <c r="M397" s="126" t="s">
        <v>271</v>
      </c>
      <c r="N397" s="126" t="s">
        <v>275</v>
      </c>
      <c r="O397" s="124" t="s">
        <v>835</v>
      </c>
      <c r="P397" s="118">
        <v>3230853.85</v>
      </c>
      <c r="Q397" s="118">
        <v>0</v>
      </c>
      <c r="R397" s="118">
        <v>0</v>
      </c>
      <c r="S397" s="118">
        <f>P397-Q397-R397</f>
        <v>3230853.85</v>
      </c>
      <c r="T397" s="118">
        <f t="shared" si="53"/>
        <v>3895.4109597299253</v>
      </c>
      <c r="U397" s="118">
        <f>AG397</f>
        <v>5735.3870970464131</v>
      </c>
      <c r="V397" s="183">
        <f t="shared" si="46"/>
        <v>1839.9761373164879</v>
      </c>
      <c r="W397" s="183"/>
      <c r="X397" s="183"/>
      <c r="Y397" s="64" t="e">
        <f t="shared" si="47"/>
        <v>#N/A</v>
      </c>
      <c r="AA397" s="64" t="e">
        <f t="shared" si="48"/>
        <v>#N/A</v>
      </c>
      <c r="AC397" s="64" t="s">
        <v>1648</v>
      </c>
      <c r="AD397" s="64">
        <v>766</v>
      </c>
      <c r="AG397" s="64">
        <f>AH397*6191.24/J397</f>
        <v>5735.3870970464131</v>
      </c>
      <c r="AH397" s="64">
        <f t="shared" si="49"/>
        <v>702.56</v>
      </c>
      <c r="AS397" s="64" t="e">
        <f t="shared" si="50"/>
        <v>#N/A</v>
      </c>
    </row>
    <row r="398" spans="1:45" s="64" customFormat="1" ht="36" customHeight="1" x14ac:dyDescent="0.9">
      <c r="B398" s="91" t="s">
        <v>863</v>
      </c>
      <c r="C398" s="172"/>
      <c r="D398" s="126" t="s">
        <v>916</v>
      </c>
      <c r="E398" s="126" t="s">
        <v>916</v>
      </c>
      <c r="F398" s="126" t="s">
        <v>916</v>
      </c>
      <c r="G398" s="126" t="s">
        <v>916</v>
      </c>
      <c r="H398" s="126" t="s">
        <v>916</v>
      </c>
      <c r="I398" s="117">
        <f>SUM(I399:I404)</f>
        <v>14750.5</v>
      </c>
      <c r="J398" s="117">
        <f>SUM(J399:J404)</f>
        <v>11094</v>
      </c>
      <c r="K398" s="117">
        <f>SUM(K399:K404)</f>
        <v>10041</v>
      </c>
      <c r="L398" s="127">
        <f>SUM(L399:L404)</f>
        <v>473</v>
      </c>
      <c r="M398" s="126" t="s">
        <v>916</v>
      </c>
      <c r="N398" s="126" t="s">
        <v>916</v>
      </c>
      <c r="O398" s="124" t="s">
        <v>916</v>
      </c>
      <c r="P398" s="118">
        <v>22440468.149999999</v>
      </c>
      <c r="Q398" s="118">
        <f>SUM(Q399:Q404)</f>
        <v>0</v>
      </c>
      <c r="R398" s="118">
        <f>SUM(R399:R404)</f>
        <v>0</v>
      </c>
      <c r="S398" s="118">
        <f>SUM(S399:S404)</f>
        <v>22440468.149999999</v>
      </c>
      <c r="T398" s="118">
        <f t="shared" si="53"/>
        <v>1521.3361004711703</v>
      </c>
      <c r="U398" s="118">
        <f>MAX(U399:U404)</f>
        <v>4981.0492845786966</v>
      </c>
      <c r="V398" s="183">
        <f t="shared" si="46"/>
        <v>3459.7131841075261</v>
      </c>
      <c r="W398" s="183"/>
      <c r="X398" s="183"/>
      <c r="Y398" s="64" t="e">
        <f t="shared" si="47"/>
        <v>#N/A</v>
      </c>
      <c r="AA398" s="64" t="e">
        <f t="shared" si="48"/>
        <v>#N/A</v>
      </c>
      <c r="AC398" s="64" t="s">
        <v>1671</v>
      </c>
      <c r="AD398" s="64">
        <v>729.73</v>
      </c>
      <c r="AH398" s="64" t="e">
        <f t="shared" si="49"/>
        <v>#N/A</v>
      </c>
      <c r="AS398" s="64" t="e">
        <f t="shared" si="50"/>
        <v>#N/A</v>
      </c>
    </row>
    <row r="399" spans="1:45" s="64" customFormat="1" ht="36" customHeight="1" x14ac:dyDescent="0.9">
      <c r="A399" s="64">
        <v>1</v>
      </c>
      <c r="B399" s="92">
        <f>SUBTOTAL(103,$A$16:A399)</f>
        <v>353</v>
      </c>
      <c r="C399" s="91" t="s">
        <v>75</v>
      </c>
      <c r="D399" s="126">
        <v>1950</v>
      </c>
      <c r="E399" s="126"/>
      <c r="F399" s="145" t="s">
        <v>273</v>
      </c>
      <c r="G399" s="126">
        <v>3</v>
      </c>
      <c r="H399" s="126">
        <v>2</v>
      </c>
      <c r="I399" s="118">
        <v>871.6</v>
      </c>
      <c r="J399" s="118">
        <v>765</v>
      </c>
      <c r="K399" s="118">
        <v>743</v>
      </c>
      <c r="L399" s="127">
        <v>25</v>
      </c>
      <c r="M399" s="126" t="s">
        <v>271</v>
      </c>
      <c r="N399" s="126" t="s">
        <v>275</v>
      </c>
      <c r="O399" s="124" t="s">
        <v>282</v>
      </c>
      <c r="P399" s="118">
        <v>3581561.29</v>
      </c>
      <c r="Q399" s="118">
        <v>0</v>
      </c>
      <c r="R399" s="118">
        <v>0</v>
      </c>
      <c r="S399" s="118">
        <f t="shared" ref="S399:S404" si="54">P399-Q399-R399</f>
        <v>3581561.29</v>
      </c>
      <c r="T399" s="118">
        <f t="shared" si="53"/>
        <v>4109.1800022946309</v>
      </c>
      <c r="U399" s="118">
        <f>T399</f>
        <v>4109.1800022946309</v>
      </c>
      <c r="V399" s="183">
        <f t="shared" si="46"/>
        <v>0</v>
      </c>
      <c r="W399" s="183"/>
      <c r="X399" s="183"/>
      <c r="Y399" s="64">
        <f t="shared" si="47"/>
        <v>3744.4068379990822</v>
      </c>
      <c r="AA399" s="64">
        <f t="shared" si="48"/>
        <v>625</v>
      </c>
      <c r="AC399" s="64" t="s">
        <v>1672</v>
      </c>
      <c r="AD399" s="64">
        <v>383.77</v>
      </c>
      <c r="AH399" s="64" t="e">
        <f t="shared" si="49"/>
        <v>#N/A</v>
      </c>
      <c r="AS399" s="64" t="e">
        <f t="shared" si="50"/>
        <v>#N/A</v>
      </c>
    </row>
    <row r="400" spans="1:45" s="64" customFormat="1" ht="36" customHeight="1" x14ac:dyDescent="0.9">
      <c r="A400" s="64">
        <v>1</v>
      </c>
      <c r="B400" s="92">
        <f>SUBTOTAL(103,$A$16:A400)</f>
        <v>354</v>
      </c>
      <c r="C400" s="91" t="s">
        <v>74</v>
      </c>
      <c r="D400" s="126">
        <v>1963</v>
      </c>
      <c r="E400" s="126"/>
      <c r="F400" s="145" t="s">
        <v>273</v>
      </c>
      <c r="G400" s="126">
        <v>4</v>
      </c>
      <c r="H400" s="126">
        <v>2</v>
      </c>
      <c r="I400" s="118">
        <v>1600.4</v>
      </c>
      <c r="J400" s="118">
        <v>1222</v>
      </c>
      <c r="K400" s="118">
        <v>1222</v>
      </c>
      <c r="L400" s="127">
        <v>54</v>
      </c>
      <c r="M400" s="126" t="s">
        <v>271</v>
      </c>
      <c r="N400" s="126" t="s">
        <v>275</v>
      </c>
      <c r="O400" s="124" t="s">
        <v>283</v>
      </c>
      <c r="P400" s="118">
        <v>3148625.32</v>
      </c>
      <c r="Q400" s="118">
        <v>0</v>
      </c>
      <c r="R400" s="118">
        <v>0</v>
      </c>
      <c r="S400" s="118">
        <f t="shared" si="54"/>
        <v>3148625.32</v>
      </c>
      <c r="T400" s="118">
        <f t="shared" si="53"/>
        <v>1967.3989752561858</v>
      </c>
      <c r="U400" s="118">
        <f>T400</f>
        <v>1967.3989752561858</v>
      </c>
      <c r="V400" s="183">
        <f t="shared" si="46"/>
        <v>0</v>
      </c>
      <c r="W400" s="183"/>
      <c r="X400" s="183"/>
      <c r="Y400" s="64">
        <f t="shared" si="47"/>
        <v>1644.4558860284928</v>
      </c>
      <c r="AA400" s="64">
        <f t="shared" si="48"/>
        <v>504</v>
      </c>
      <c r="AC400" s="64" t="s">
        <v>1673</v>
      </c>
      <c r="AD400" s="64">
        <v>726.8</v>
      </c>
      <c r="AH400" s="64" t="e">
        <f t="shared" si="49"/>
        <v>#N/A</v>
      </c>
      <c r="AS400" s="64" t="e">
        <f t="shared" si="50"/>
        <v>#N/A</v>
      </c>
    </row>
    <row r="401" spans="1:45" s="64" customFormat="1" ht="36" customHeight="1" x14ac:dyDescent="0.9">
      <c r="A401" s="64">
        <v>1</v>
      </c>
      <c r="B401" s="92">
        <f>SUBTOTAL(103,$A$16:A401)</f>
        <v>355</v>
      </c>
      <c r="C401" s="91" t="s">
        <v>76</v>
      </c>
      <c r="D401" s="126">
        <v>1948</v>
      </c>
      <c r="E401" s="126"/>
      <c r="F401" s="145" t="s">
        <v>273</v>
      </c>
      <c r="G401" s="126">
        <v>4</v>
      </c>
      <c r="H401" s="126">
        <v>3</v>
      </c>
      <c r="I401" s="118">
        <v>1954.5</v>
      </c>
      <c r="J401" s="118">
        <v>1574</v>
      </c>
      <c r="K401" s="118">
        <v>1540</v>
      </c>
      <c r="L401" s="127">
        <v>58</v>
      </c>
      <c r="M401" s="126" t="s">
        <v>271</v>
      </c>
      <c r="N401" s="126" t="s">
        <v>275</v>
      </c>
      <c r="O401" s="124" t="s">
        <v>284</v>
      </c>
      <c r="P401" s="118">
        <v>5571953.8200000003</v>
      </c>
      <c r="Q401" s="118">
        <v>0</v>
      </c>
      <c r="R401" s="118">
        <v>0</v>
      </c>
      <c r="S401" s="118">
        <f t="shared" si="54"/>
        <v>5571953.8200000003</v>
      </c>
      <c r="T401" s="118">
        <f t="shared" si="53"/>
        <v>2850.8333691481198</v>
      </c>
      <c r="U401" s="118">
        <f>T401</f>
        <v>2850.8333691481198</v>
      </c>
      <c r="V401" s="183">
        <f t="shared" ref="V401:V464" si="55">U401-T401</f>
        <v>0</v>
      </c>
      <c r="W401" s="183"/>
      <c r="X401" s="183"/>
      <c r="Y401" s="64">
        <f t="shared" ref="Y401:Y464" si="56">AA401*5221.8/I401</f>
        <v>2548.7834228702995</v>
      </c>
      <c r="AA401" s="64">
        <f t="shared" ref="AA401:AA464" si="57">VLOOKUP(C401,AC:AE,2,FALSE)</f>
        <v>954</v>
      </c>
      <c r="AC401" s="64" t="s">
        <v>1674</v>
      </c>
      <c r="AD401" s="64">
        <v>425.38</v>
      </c>
      <c r="AH401" s="64" t="e">
        <f t="shared" ref="AH401:AH464" si="58">VLOOKUP(C401,AJ:AK,2,FALSE)</f>
        <v>#N/A</v>
      </c>
      <c r="AS401" s="64" t="e">
        <f t="shared" ref="AS401:AS464" si="59">VLOOKUP(C401,AU:AV,2,FALSE)</f>
        <v>#N/A</v>
      </c>
    </row>
    <row r="402" spans="1:45" s="64" customFormat="1" ht="36" customHeight="1" x14ac:dyDescent="0.9">
      <c r="A402" s="64">
        <v>1</v>
      </c>
      <c r="B402" s="92">
        <f>SUBTOTAL(103,$A$16:A402)</f>
        <v>356</v>
      </c>
      <c r="C402" s="91" t="s">
        <v>1263</v>
      </c>
      <c r="D402" s="126">
        <v>1957</v>
      </c>
      <c r="E402" s="126"/>
      <c r="F402" s="145" t="s">
        <v>273</v>
      </c>
      <c r="G402" s="126">
        <v>4</v>
      </c>
      <c r="H402" s="126">
        <v>4</v>
      </c>
      <c r="I402" s="118">
        <v>5025</v>
      </c>
      <c r="J402" s="118">
        <v>3440</v>
      </c>
      <c r="K402" s="118">
        <v>3207</v>
      </c>
      <c r="L402" s="127">
        <v>113</v>
      </c>
      <c r="M402" s="126" t="s">
        <v>271</v>
      </c>
      <c r="N402" s="126" t="s">
        <v>275</v>
      </c>
      <c r="O402" s="124" t="s">
        <v>283</v>
      </c>
      <c r="P402" s="118">
        <v>3582068.9</v>
      </c>
      <c r="Q402" s="118">
        <v>0</v>
      </c>
      <c r="R402" s="118">
        <v>0</v>
      </c>
      <c r="S402" s="118">
        <f t="shared" si="54"/>
        <v>3582068.9</v>
      </c>
      <c r="T402" s="118">
        <f t="shared" si="53"/>
        <v>712.84953233830845</v>
      </c>
      <c r="U402" s="118">
        <v>3080.1800000000003</v>
      </c>
      <c r="V402" s="183">
        <f t="shared" si="55"/>
        <v>2367.3304676616917</v>
      </c>
      <c r="W402" s="183"/>
      <c r="X402" s="183"/>
      <c r="Y402" s="64" t="e">
        <f t="shared" si="56"/>
        <v>#N/A</v>
      </c>
      <c r="AA402" s="64" t="e">
        <f t="shared" si="57"/>
        <v>#N/A</v>
      </c>
      <c r="AC402" s="64" t="s">
        <v>662</v>
      </c>
      <c r="AD402" s="64">
        <v>1122.5</v>
      </c>
      <c r="AH402" s="64" t="e">
        <f t="shared" si="58"/>
        <v>#N/A</v>
      </c>
      <c r="AS402" s="64" t="e">
        <f t="shared" si="59"/>
        <v>#N/A</v>
      </c>
    </row>
    <row r="403" spans="1:45" s="64" customFormat="1" ht="36" customHeight="1" x14ac:dyDescent="0.9">
      <c r="A403" s="64">
        <v>1</v>
      </c>
      <c r="B403" s="92">
        <f>SUBTOTAL(103,$A$16:A403)</f>
        <v>357</v>
      </c>
      <c r="C403" s="91" t="s">
        <v>1264</v>
      </c>
      <c r="D403" s="126">
        <v>1974</v>
      </c>
      <c r="E403" s="126"/>
      <c r="F403" s="145" t="s">
        <v>273</v>
      </c>
      <c r="G403" s="126">
        <v>5</v>
      </c>
      <c r="H403" s="126">
        <v>2</v>
      </c>
      <c r="I403" s="118">
        <v>4670</v>
      </c>
      <c r="J403" s="118">
        <v>3641</v>
      </c>
      <c r="K403" s="118">
        <v>2877</v>
      </c>
      <c r="L403" s="127">
        <v>192</v>
      </c>
      <c r="M403" s="126" t="s">
        <v>271</v>
      </c>
      <c r="N403" s="126" t="s">
        <v>275</v>
      </c>
      <c r="O403" s="124" t="s">
        <v>1363</v>
      </c>
      <c r="P403" s="118">
        <v>4162144.7199999997</v>
      </c>
      <c r="Q403" s="118">
        <v>0</v>
      </c>
      <c r="R403" s="118">
        <v>0</v>
      </c>
      <c r="S403" s="118">
        <f t="shared" si="54"/>
        <v>4162144.7199999997</v>
      </c>
      <c r="T403" s="118">
        <f t="shared" si="53"/>
        <v>891.25154603854389</v>
      </c>
      <c r="U403" s="118">
        <f>Y403</f>
        <v>1090.4281284796575</v>
      </c>
      <c r="V403" s="183">
        <f t="shared" si="55"/>
        <v>199.17658244111362</v>
      </c>
      <c r="W403" s="183"/>
      <c r="X403" s="183"/>
      <c r="Y403" s="64">
        <f t="shared" si="56"/>
        <v>1090.4281284796575</v>
      </c>
      <c r="AA403" s="64">
        <f t="shared" si="57"/>
        <v>975.2</v>
      </c>
      <c r="AC403" s="64" t="s">
        <v>659</v>
      </c>
      <c r="AD403" s="64">
        <v>855.6</v>
      </c>
      <c r="AH403" s="64" t="e">
        <f t="shared" si="58"/>
        <v>#N/A</v>
      </c>
      <c r="AS403" s="64" t="e">
        <f t="shared" si="59"/>
        <v>#N/A</v>
      </c>
    </row>
    <row r="404" spans="1:45" s="64" customFormat="1" ht="36" customHeight="1" x14ac:dyDescent="0.9">
      <c r="A404" s="64">
        <v>1</v>
      </c>
      <c r="B404" s="92">
        <f>SUBTOTAL(103,$A$16:A404)</f>
        <v>358</v>
      </c>
      <c r="C404" s="91" t="s">
        <v>1265</v>
      </c>
      <c r="D404" s="126">
        <v>1955</v>
      </c>
      <c r="E404" s="126"/>
      <c r="F404" s="145" t="s">
        <v>273</v>
      </c>
      <c r="G404" s="126">
        <v>2</v>
      </c>
      <c r="H404" s="126">
        <v>2</v>
      </c>
      <c r="I404" s="118">
        <v>629</v>
      </c>
      <c r="J404" s="118">
        <v>452</v>
      </c>
      <c r="K404" s="118">
        <v>452</v>
      </c>
      <c r="L404" s="127">
        <v>31</v>
      </c>
      <c r="M404" s="126" t="s">
        <v>271</v>
      </c>
      <c r="N404" s="126" t="s">
        <v>275</v>
      </c>
      <c r="O404" s="124" t="s">
        <v>1336</v>
      </c>
      <c r="P404" s="118">
        <v>2394114.0999999996</v>
      </c>
      <c r="Q404" s="118">
        <v>0</v>
      </c>
      <c r="R404" s="118">
        <v>0</v>
      </c>
      <c r="S404" s="118">
        <f t="shared" si="54"/>
        <v>2394114.0999999996</v>
      </c>
      <c r="T404" s="118">
        <f t="shared" si="53"/>
        <v>3806.2227344992043</v>
      </c>
      <c r="U404" s="118">
        <f>Y404</f>
        <v>4981.0492845786966</v>
      </c>
      <c r="V404" s="183">
        <f t="shared" si="55"/>
        <v>1174.8265500794923</v>
      </c>
      <c r="W404" s="183"/>
      <c r="X404" s="183"/>
      <c r="Y404" s="64">
        <f t="shared" si="56"/>
        <v>4981.0492845786966</v>
      </c>
      <c r="AA404" s="64">
        <f t="shared" si="57"/>
        <v>600</v>
      </c>
      <c r="AC404" s="64" t="s">
        <v>667</v>
      </c>
      <c r="AD404" s="64">
        <v>345</v>
      </c>
      <c r="AH404" s="64" t="e">
        <f t="shared" si="58"/>
        <v>#N/A</v>
      </c>
      <c r="AS404" s="64" t="e">
        <f t="shared" si="59"/>
        <v>#N/A</v>
      </c>
    </row>
    <row r="405" spans="1:45" s="64" customFormat="1" ht="36" customHeight="1" x14ac:dyDescent="0.9">
      <c r="B405" s="91" t="s">
        <v>864</v>
      </c>
      <c r="C405" s="91"/>
      <c r="D405" s="126" t="s">
        <v>916</v>
      </c>
      <c r="E405" s="126" t="s">
        <v>916</v>
      </c>
      <c r="F405" s="126" t="s">
        <v>916</v>
      </c>
      <c r="G405" s="126" t="s">
        <v>916</v>
      </c>
      <c r="H405" s="126" t="s">
        <v>916</v>
      </c>
      <c r="I405" s="117">
        <f>I406</f>
        <v>613</v>
      </c>
      <c r="J405" s="117">
        <f>J406</f>
        <v>613</v>
      </c>
      <c r="K405" s="117">
        <f>K406</f>
        <v>571.70000000000005</v>
      </c>
      <c r="L405" s="127">
        <f>L406</f>
        <v>33</v>
      </c>
      <c r="M405" s="126" t="s">
        <v>916</v>
      </c>
      <c r="N405" s="126" t="s">
        <v>916</v>
      </c>
      <c r="O405" s="124" t="s">
        <v>916</v>
      </c>
      <c r="P405" s="118">
        <v>3182125.2199999997</v>
      </c>
      <c r="Q405" s="118">
        <f>Q406</f>
        <v>0</v>
      </c>
      <c r="R405" s="118">
        <f>R406</f>
        <v>0</v>
      </c>
      <c r="S405" s="118">
        <f>S406</f>
        <v>3182125.2199999997</v>
      </c>
      <c r="T405" s="118">
        <f t="shared" si="53"/>
        <v>5191.0688743882538</v>
      </c>
      <c r="U405" s="118">
        <f>T405</f>
        <v>5191.0688743882538</v>
      </c>
      <c r="V405" s="183">
        <f t="shared" si="55"/>
        <v>0</v>
      </c>
      <c r="W405" s="183"/>
      <c r="X405" s="183"/>
      <c r="Y405" s="64" t="e">
        <f t="shared" si="56"/>
        <v>#N/A</v>
      </c>
      <c r="AA405" s="64" t="e">
        <f t="shared" si="57"/>
        <v>#N/A</v>
      </c>
      <c r="AC405" s="64" t="s">
        <v>668</v>
      </c>
      <c r="AD405" s="64">
        <v>809.03</v>
      </c>
      <c r="AH405" s="64" t="e">
        <f t="shared" si="58"/>
        <v>#N/A</v>
      </c>
      <c r="AS405" s="64" t="e">
        <f t="shared" si="59"/>
        <v>#N/A</v>
      </c>
    </row>
    <row r="406" spans="1:45" s="64" customFormat="1" ht="36" customHeight="1" x14ac:dyDescent="0.9">
      <c r="A406" s="64">
        <v>1</v>
      </c>
      <c r="B406" s="92">
        <f>SUBTOTAL(103,$A$16:A406)</f>
        <v>359</v>
      </c>
      <c r="C406" s="91" t="s">
        <v>77</v>
      </c>
      <c r="D406" s="126">
        <v>1966</v>
      </c>
      <c r="E406" s="126"/>
      <c r="F406" s="145" t="s">
        <v>273</v>
      </c>
      <c r="G406" s="126">
        <v>2</v>
      </c>
      <c r="H406" s="126">
        <v>2</v>
      </c>
      <c r="I406" s="118">
        <v>613</v>
      </c>
      <c r="J406" s="118">
        <v>613</v>
      </c>
      <c r="K406" s="118">
        <v>571.70000000000005</v>
      </c>
      <c r="L406" s="127">
        <v>33</v>
      </c>
      <c r="M406" s="126" t="s">
        <v>271</v>
      </c>
      <c r="N406" s="126" t="s">
        <v>272</v>
      </c>
      <c r="O406" s="124" t="s">
        <v>274</v>
      </c>
      <c r="P406" s="118">
        <v>3182125.2199999997</v>
      </c>
      <c r="Q406" s="118">
        <v>0</v>
      </c>
      <c r="R406" s="118">
        <v>0</v>
      </c>
      <c r="S406" s="118">
        <f>P406-Q406-R406</f>
        <v>3182125.2199999997</v>
      </c>
      <c r="T406" s="118">
        <f t="shared" si="53"/>
        <v>5191.0688743882538</v>
      </c>
      <c r="U406" s="118">
        <f>T406</f>
        <v>5191.0688743882538</v>
      </c>
      <c r="V406" s="183">
        <f t="shared" si="55"/>
        <v>0</v>
      </c>
      <c r="W406" s="183"/>
      <c r="X406" s="183"/>
      <c r="Y406" s="64">
        <f t="shared" si="56"/>
        <v>5094.0234910277322</v>
      </c>
      <c r="AA406" s="64">
        <f t="shared" si="57"/>
        <v>598</v>
      </c>
      <c r="AC406" s="64" t="s">
        <v>669</v>
      </c>
      <c r="AD406" s="64">
        <v>748</v>
      </c>
      <c r="AH406" s="64" t="e">
        <f t="shared" si="58"/>
        <v>#N/A</v>
      </c>
      <c r="AS406" s="64" t="e">
        <f t="shared" si="59"/>
        <v>#N/A</v>
      </c>
    </row>
    <row r="407" spans="1:45" s="64" customFormat="1" ht="36" customHeight="1" x14ac:dyDescent="0.9">
      <c r="B407" s="91" t="s">
        <v>897</v>
      </c>
      <c r="C407" s="91"/>
      <c r="D407" s="126" t="s">
        <v>916</v>
      </c>
      <c r="E407" s="126" t="s">
        <v>916</v>
      </c>
      <c r="F407" s="126" t="s">
        <v>916</v>
      </c>
      <c r="G407" s="126" t="s">
        <v>916</v>
      </c>
      <c r="H407" s="126" t="s">
        <v>916</v>
      </c>
      <c r="I407" s="117">
        <f>I408</f>
        <v>320</v>
      </c>
      <c r="J407" s="117">
        <f>J408</f>
        <v>311</v>
      </c>
      <c r="K407" s="117">
        <f>K408</f>
        <v>311</v>
      </c>
      <c r="L407" s="127">
        <f>L408</f>
        <v>21</v>
      </c>
      <c r="M407" s="126" t="s">
        <v>916</v>
      </c>
      <c r="N407" s="126" t="s">
        <v>916</v>
      </c>
      <c r="O407" s="124" t="s">
        <v>916</v>
      </c>
      <c r="P407" s="118">
        <v>522383.64</v>
      </c>
      <c r="Q407" s="118">
        <f>Q408</f>
        <v>0</v>
      </c>
      <c r="R407" s="118">
        <f>R408</f>
        <v>0</v>
      </c>
      <c r="S407" s="118">
        <f>S408</f>
        <v>522383.64</v>
      </c>
      <c r="T407" s="118">
        <f t="shared" si="53"/>
        <v>1632.448875</v>
      </c>
      <c r="U407" s="118">
        <f>U408</f>
        <v>1632.448875</v>
      </c>
      <c r="V407" s="183">
        <f t="shared" si="55"/>
        <v>0</v>
      </c>
      <c r="W407" s="183"/>
      <c r="X407" s="183"/>
      <c r="Y407" s="64" t="e">
        <f t="shared" si="56"/>
        <v>#N/A</v>
      </c>
      <c r="AA407" s="64" t="e">
        <f t="shared" si="57"/>
        <v>#N/A</v>
      </c>
      <c r="AC407" s="64" t="s">
        <v>666</v>
      </c>
      <c r="AD407" s="64">
        <v>601.20000000000005</v>
      </c>
      <c r="AH407" s="64" t="e">
        <f t="shared" si="58"/>
        <v>#N/A</v>
      </c>
      <c r="AS407" s="64" t="e">
        <f t="shared" si="59"/>
        <v>#N/A</v>
      </c>
    </row>
    <row r="408" spans="1:45" s="64" customFormat="1" ht="36" customHeight="1" x14ac:dyDescent="0.9">
      <c r="A408" s="64">
        <v>1</v>
      </c>
      <c r="B408" s="92">
        <f>SUBTOTAL(103,$A$16:A408)</f>
        <v>360</v>
      </c>
      <c r="C408" s="91" t="s">
        <v>1266</v>
      </c>
      <c r="D408" s="126">
        <v>1962</v>
      </c>
      <c r="E408" s="126"/>
      <c r="F408" s="145" t="s">
        <v>273</v>
      </c>
      <c r="G408" s="126">
        <v>2</v>
      </c>
      <c r="H408" s="126">
        <v>1</v>
      </c>
      <c r="I408" s="118">
        <v>320</v>
      </c>
      <c r="J408" s="118">
        <v>311</v>
      </c>
      <c r="K408" s="118">
        <v>311</v>
      </c>
      <c r="L408" s="127">
        <v>21</v>
      </c>
      <c r="M408" s="126" t="s">
        <v>271</v>
      </c>
      <c r="N408" s="126" t="s">
        <v>275</v>
      </c>
      <c r="O408" s="124" t="s">
        <v>1337</v>
      </c>
      <c r="P408" s="118">
        <v>522383.64</v>
      </c>
      <c r="Q408" s="118">
        <v>0</v>
      </c>
      <c r="R408" s="118">
        <v>0</v>
      </c>
      <c r="S408" s="118">
        <f>P408-Q408-R408</f>
        <v>522383.64</v>
      </c>
      <c r="T408" s="118">
        <f t="shared" si="53"/>
        <v>1632.448875</v>
      </c>
      <c r="U408" s="118">
        <v>1632.448875</v>
      </c>
      <c r="V408" s="183">
        <f t="shared" si="55"/>
        <v>0</v>
      </c>
      <c r="W408" s="183"/>
      <c r="X408" s="183"/>
      <c r="Y408" s="64" t="e">
        <f t="shared" si="56"/>
        <v>#N/A</v>
      </c>
      <c r="AA408" s="64" t="e">
        <f t="shared" si="57"/>
        <v>#N/A</v>
      </c>
      <c r="AC408" s="64" t="s">
        <v>674</v>
      </c>
      <c r="AD408" s="64">
        <v>680</v>
      </c>
      <c r="AH408" s="64" t="e">
        <f t="shared" si="58"/>
        <v>#N/A</v>
      </c>
      <c r="AS408" s="64" t="e">
        <f t="shared" si="59"/>
        <v>#N/A</v>
      </c>
    </row>
    <row r="409" spans="1:45" s="64" customFormat="1" ht="36" customHeight="1" x14ac:dyDescent="0.9">
      <c r="B409" s="91" t="s">
        <v>865</v>
      </c>
      <c r="C409" s="172"/>
      <c r="D409" s="126" t="s">
        <v>916</v>
      </c>
      <c r="E409" s="126" t="s">
        <v>916</v>
      </c>
      <c r="F409" s="126" t="s">
        <v>916</v>
      </c>
      <c r="G409" s="126" t="s">
        <v>916</v>
      </c>
      <c r="H409" s="126" t="s">
        <v>916</v>
      </c>
      <c r="I409" s="117">
        <f>SUM(I410:I414)</f>
        <v>6463.98</v>
      </c>
      <c r="J409" s="117">
        <f>SUM(J410:J414)</f>
        <v>5846.45</v>
      </c>
      <c r="K409" s="117">
        <f>SUM(K410:K414)</f>
        <v>5322.1500000000005</v>
      </c>
      <c r="L409" s="127">
        <f>SUM(L410:L414)</f>
        <v>243</v>
      </c>
      <c r="M409" s="126" t="s">
        <v>916</v>
      </c>
      <c r="N409" s="126" t="s">
        <v>916</v>
      </c>
      <c r="O409" s="124" t="s">
        <v>916</v>
      </c>
      <c r="P409" s="117">
        <v>18514841.960000001</v>
      </c>
      <c r="Q409" s="117">
        <f>SUM(Q410:Q414)</f>
        <v>0</v>
      </c>
      <c r="R409" s="117">
        <f>SUM(R410:R414)</f>
        <v>0</v>
      </c>
      <c r="S409" s="117">
        <f>SUM(S410:S414)</f>
        <v>18514841.960000001</v>
      </c>
      <c r="T409" s="118">
        <f t="shared" si="53"/>
        <v>2864.3099081370924</v>
      </c>
      <c r="U409" s="118">
        <f>MAX(U410:U414)</f>
        <v>4812.6780483218945</v>
      </c>
      <c r="V409" s="183">
        <f t="shared" si="55"/>
        <v>1948.3681401848021</v>
      </c>
      <c r="W409" s="183"/>
      <c r="X409" s="183"/>
      <c r="Y409" s="64" t="e">
        <f t="shared" si="56"/>
        <v>#N/A</v>
      </c>
      <c r="AA409" s="64" t="e">
        <f t="shared" si="57"/>
        <v>#N/A</v>
      </c>
      <c r="AC409" s="64" t="s">
        <v>677</v>
      </c>
      <c r="AD409" s="64">
        <v>1100</v>
      </c>
      <c r="AH409" s="64" t="e">
        <f t="shared" si="58"/>
        <v>#N/A</v>
      </c>
      <c r="AS409" s="64" t="e">
        <f t="shared" si="59"/>
        <v>#N/A</v>
      </c>
    </row>
    <row r="410" spans="1:45" s="64" customFormat="1" ht="36" customHeight="1" x14ac:dyDescent="0.9">
      <c r="A410" s="64">
        <v>1</v>
      </c>
      <c r="B410" s="92">
        <f>SUBTOTAL(103,$A$16:A410)</f>
        <v>361</v>
      </c>
      <c r="C410" s="91" t="s">
        <v>108</v>
      </c>
      <c r="D410" s="126">
        <v>1961</v>
      </c>
      <c r="E410" s="126"/>
      <c r="F410" s="145" t="s">
        <v>273</v>
      </c>
      <c r="G410" s="126">
        <v>3</v>
      </c>
      <c r="H410" s="126">
        <v>2</v>
      </c>
      <c r="I410" s="118">
        <v>1048.3800000000001</v>
      </c>
      <c r="J410" s="118">
        <v>975.35</v>
      </c>
      <c r="K410" s="118">
        <v>930.75</v>
      </c>
      <c r="L410" s="127">
        <v>50</v>
      </c>
      <c r="M410" s="126" t="s">
        <v>271</v>
      </c>
      <c r="N410" s="126" t="s">
        <v>275</v>
      </c>
      <c r="O410" s="124" t="s">
        <v>1112</v>
      </c>
      <c r="P410" s="118">
        <v>2621954.33</v>
      </c>
      <c r="Q410" s="118">
        <v>0</v>
      </c>
      <c r="R410" s="118">
        <v>0</v>
      </c>
      <c r="S410" s="118">
        <f>P410-Q410-R410</f>
        <v>2621954.33</v>
      </c>
      <c r="T410" s="118">
        <f t="shared" si="53"/>
        <v>2500.9579827924986</v>
      </c>
      <c r="U410" s="118">
        <f>Y410</f>
        <v>2970.5655582899326</v>
      </c>
      <c r="V410" s="183">
        <f t="shared" si="55"/>
        <v>469.60757549743403</v>
      </c>
      <c r="W410" s="183"/>
      <c r="X410" s="183"/>
      <c r="Y410" s="64">
        <f t="shared" si="56"/>
        <v>2970.5655582899326</v>
      </c>
      <c r="AA410" s="64">
        <f t="shared" si="57"/>
        <v>596.4</v>
      </c>
      <c r="AC410" s="64" t="s">
        <v>784</v>
      </c>
      <c r="AD410" s="64">
        <v>900</v>
      </c>
      <c r="AH410" s="64" t="e">
        <f t="shared" si="58"/>
        <v>#N/A</v>
      </c>
      <c r="AS410" s="64" t="e">
        <f t="shared" si="59"/>
        <v>#N/A</v>
      </c>
    </row>
    <row r="411" spans="1:45" s="64" customFormat="1" ht="36" customHeight="1" x14ac:dyDescent="0.9">
      <c r="A411" s="64">
        <v>1</v>
      </c>
      <c r="B411" s="92">
        <f>SUBTOTAL(103,$A$16:A411)</f>
        <v>362</v>
      </c>
      <c r="C411" s="91" t="s">
        <v>110</v>
      </c>
      <c r="D411" s="126">
        <v>1977</v>
      </c>
      <c r="E411" s="126"/>
      <c r="F411" s="145" t="s">
        <v>273</v>
      </c>
      <c r="G411" s="126">
        <v>2</v>
      </c>
      <c r="H411" s="126">
        <v>3</v>
      </c>
      <c r="I411" s="118">
        <v>1063.7</v>
      </c>
      <c r="J411" s="118">
        <v>983.3</v>
      </c>
      <c r="K411" s="118">
        <v>887.9</v>
      </c>
      <c r="L411" s="127">
        <v>32</v>
      </c>
      <c r="M411" s="126" t="s">
        <v>271</v>
      </c>
      <c r="N411" s="126" t="s">
        <v>272</v>
      </c>
      <c r="O411" s="124" t="s">
        <v>274</v>
      </c>
      <c r="P411" s="118">
        <v>5119245.6399999997</v>
      </c>
      <c r="Q411" s="118">
        <v>0</v>
      </c>
      <c r="R411" s="118">
        <v>0</v>
      </c>
      <c r="S411" s="118">
        <f>P411-Q411-R411</f>
        <v>5119245.6399999997</v>
      </c>
      <c r="T411" s="118">
        <f t="shared" si="53"/>
        <v>4812.6780483218945</v>
      </c>
      <c r="U411" s="118">
        <f>T411</f>
        <v>4812.6780483218945</v>
      </c>
      <c r="V411" s="183">
        <f t="shared" si="55"/>
        <v>0</v>
      </c>
      <c r="W411" s="183"/>
      <c r="X411" s="183"/>
      <c r="Y411" s="64">
        <f t="shared" si="56"/>
        <v>4595.4000000000005</v>
      </c>
      <c r="AA411" s="64">
        <f t="shared" si="57"/>
        <v>936.1</v>
      </c>
      <c r="AC411" s="64" t="s">
        <v>710</v>
      </c>
      <c r="AD411" s="64">
        <v>644.5</v>
      </c>
      <c r="AH411" s="64" t="e">
        <f t="shared" si="58"/>
        <v>#N/A</v>
      </c>
      <c r="AS411" s="64" t="e">
        <f t="shared" si="59"/>
        <v>#N/A</v>
      </c>
    </row>
    <row r="412" spans="1:45" s="64" customFormat="1" ht="36" customHeight="1" x14ac:dyDescent="0.9">
      <c r="A412" s="64">
        <v>1</v>
      </c>
      <c r="B412" s="92">
        <f>SUBTOTAL(103,$A$16:A412)</f>
        <v>363</v>
      </c>
      <c r="C412" s="91" t="s">
        <v>1267</v>
      </c>
      <c r="D412" s="126">
        <v>1934</v>
      </c>
      <c r="E412" s="126"/>
      <c r="F412" s="145" t="s">
        <v>273</v>
      </c>
      <c r="G412" s="126">
        <v>2</v>
      </c>
      <c r="H412" s="126">
        <v>3</v>
      </c>
      <c r="I412" s="118">
        <v>987.5</v>
      </c>
      <c r="J412" s="118">
        <v>874</v>
      </c>
      <c r="K412" s="118">
        <v>837.7</v>
      </c>
      <c r="L412" s="127">
        <v>26</v>
      </c>
      <c r="M412" s="126" t="s">
        <v>271</v>
      </c>
      <c r="N412" s="126" t="s">
        <v>272</v>
      </c>
      <c r="O412" s="124" t="s">
        <v>274</v>
      </c>
      <c r="P412" s="118">
        <v>3913623.54</v>
      </c>
      <c r="Q412" s="118">
        <v>0</v>
      </c>
      <c r="R412" s="118">
        <v>0</v>
      </c>
      <c r="S412" s="118">
        <f>P412-Q412-R412</f>
        <v>3913623.54</v>
      </c>
      <c r="T412" s="118">
        <f t="shared" si="53"/>
        <v>3963.1630784810127</v>
      </c>
      <c r="U412" s="118">
        <f>Y412</f>
        <v>4269.4494379746839</v>
      </c>
      <c r="V412" s="183">
        <f t="shared" si="55"/>
        <v>306.28635949367117</v>
      </c>
      <c r="W412" s="183"/>
      <c r="X412" s="183"/>
      <c r="Y412" s="64">
        <f t="shared" si="56"/>
        <v>4269.4494379746839</v>
      </c>
      <c r="AA412" s="64">
        <f t="shared" si="57"/>
        <v>807.4</v>
      </c>
      <c r="AC412" s="64" t="s">
        <v>695</v>
      </c>
      <c r="AD412" s="64">
        <v>520</v>
      </c>
      <c r="AH412" s="64" t="e">
        <f t="shared" si="58"/>
        <v>#N/A</v>
      </c>
      <c r="AS412" s="64" t="e">
        <f t="shared" si="59"/>
        <v>#N/A</v>
      </c>
    </row>
    <row r="413" spans="1:45" s="64" customFormat="1" ht="36" customHeight="1" x14ac:dyDescent="0.9">
      <c r="A413" s="64">
        <v>1</v>
      </c>
      <c r="B413" s="92">
        <f>SUBTOTAL(103,$A$16:A413)</f>
        <v>364</v>
      </c>
      <c r="C413" s="91" t="s">
        <v>1268</v>
      </c>
      <c r="D413" s="126">
        <v>1985</v>
      </c>
      <c r="E413" s="126"/>
      <c r="F413" s="145" t="s">
        <v>273</v>
      </c>
      <c r="G413" s="126">
        <v>5</v>
      </c>
      <c r="H413" s="126">
        <v>4</v>
      </c>
      <c r="I413" s="118">
        <v>2915</v>
      </c>
      <c r="J413" s="118">
        <v>2619.4</v>
      </c>
      <c r="K413" s="118">
        <v>2310.6</v>
      </c>
      <c r="L413" s="127">
        <v>117</v>
      </c>
      <c r="M413" s="126" t="s">
        <v>271</v>
      </c>
      <c r="N413" s="126" t="s">
        <v>275</v>
      </c>
      <c r="O413" s="124" t="s">
        <v>1370</v>
      </c>
      <c r="P413" s="118">
        <v>5676565.8099999996</v>
      </c>
      <c r="Q413" s="118">
        <v>0</v>
      </c>
      <c r="R413" s="118">
        <v>0</v>
      </c>
      <c r="S413" s="118">
        <f>P413-Q413-R413</f>
        <v>5676565.8099999996</v>
      </c>
      <c r="T413" s="118">
        <f t="shared" si="53"/>
        <v>1947.3639142367065</v>
      </c>
      <c r="U413" s="118">
        <v>1947.3639142367065</v>
      </c>
      <c r="V413" s="183">
        <f t="shared" si="55"/>
        <v>0</v>
      </c>
      <c r="W413" s="183"/>
      <c r="X413" s="183"/>
      <c r="Y413" s="64" t="e">
        <f t="shared" si="56"/>
        <v>#N/A</v>
      </c>
      <c r="AA413" s="64" t="e">
        <f t="shared" si="57"/>
        <v>#N/A</v>
      </c>
      <c r="AC413" s="64" t="s">
        <v>702</v>
      </c>
      <c r="AD413" s="64">
        <v>700.14</v>
      </c>
      <c r="AH413" s="64" t="e">
        <f t="shared" si="58"/>
        <v>#N/A</v>
      </c>
      <c r="AS413" s="64" t="e">
        <f t="shared" si="59"/>
        <v>#N/A</v>
      </c>
    </row>
    <row r="414" spans="1:45" s="64" customFormat="1" ht="36" customHeight="1" x14ac:dyDescent="0.9">
      <c r="A414" s="64">
        <v>1</v>
      </c>
      <c r="B414" s="92">
        <f>SUBTOTAL(103,$A$16:A414)</f>
        <v>365</v>
      </c>
      <c r="C414" s="91" t="s">
        <v>1269</v>
      </c>
      <c r="D414" s="126">
        <v>1962</v>
      </c>
      <c r="E414" s="126"/>
      <c r="F414" s="145" t="s">
        <v>338</v>
      </c>
      <c r="G414" s="126">
        <v>2</v>
      </c>
      <c r="H414" s="126">
        <v>1</v>
      </c>
      <c r="I414" s="118">
        <v>449.4</v>
      </c>
      <c r="J414" s="118">
        <v>394.4</v>
      </c>
      <c r="K414" s="118">
        <v>355.2</v>
      </c>
      <c r="L414" s="127">
        <v>18</v>
      </c>
      <c r="M414" s="126" t="s">
        <v>271</v>
      </c>
      <c r="N414" s="126" t="s">
        <v>272</v>
      </c>
      <c r="O414" s="124" t="s">
        <v>274</v>
      </c>
      <c r="P414" s="118">
        <v>1183452.6399999999</v>
      </c>
      <c r="Q414" s="118">
        <v>0</v>
      </c>
      <c r="R414" s="118">
        <v>0</v>
      </c>
      <c r="S414" s="118">
        <f>P414-Q414-R414</f>
        <v>1183452.6399999999</v>
      </c>
      <c r="T414" s="118">
        <f t="shared" si="53"/>
        <v>2633.4059635068979</v>
      </c>
      <c r="U414" s="118">
        <f>Y414</f>
        <v>3892.5300400534047</v>
      </c>
      <c r="V414" s="183">
        <f t="shared" si="55"/>
        <v>1259.1240765465068</v>
      </c>
      <c r="W414" s="183"/>
      <c r="X414" s="183"/>
      <c r="Y414" s="64">
        <f t="shared" si="56"/>
        <v>3892.5300400534047</v>
      </c>
      <c r="AA414" s="64">
        <f t="shared" si="57"/>
        <v>335</v>
      </c>
      <c r="AC414" s="64" t="s">
        <v>680</v>
      </c>
      <c r="AD414" s="64">
        <v>1107</v>
      </c>
      <c r="AH414" s="64" t="e">
        <f t="shared" si="58"/>
        <v>#N/A</v>
      </c>
      <c r="AS414" s="64" t="e">
        <f t="shared" si="59"/>
        <v>#N/A</v>
      </c>
    </row>
    <row r="415" spans="1:45" s="64" customFormat="1" ht="36" customHeight="1" x14ac:dyDescent="0.9">
      <c r="B415" s="91" t="s">
        <v>866</v>
      </c>
      <c r="C415" s="172"/>
      <c r="D415" s="126" t="s">
        <v>916</v>
      </c>
      <c r="E415" s="126" t="s">
        <v>916</v>
      </c>
      <c r="F415" s="126" t="s">
        <v>916</v>
      </c>
      <c r="G415" s="126" t="s">
        <v>916</v>
      </c>
      <c r="H415" s="126" t="s">
        <v>916</v>
      </c>
      <c r="I415" s="117">
        <f>I416</f>
        <v>2767.4</v>
      </c>
      <c r="J415" s="117">
        <f>J416</f>
        <v>2688.6</v>
      </c>
      <c r="K415" s="117">
        <f>K416</f>
        <v>1642.8</v>
      </c>
      <c r="L415" s="127">
        <f>L416</f>
        <v>148</v>
      </c>
      <c r="M415" s="126" t="s">
        <v>916</v>
      </c>
      <c r="N415" s="126" t="s">
        <v>916</v>
      </c>
      <c r="O415" s="124" t="s">
        <v>916</v>
      </c>
      <c r="P415" s="118">
        <v>5141890.2</v>
      </c>
      <c r="Q415" s="118">
        <f>Q416</f>
        <v>0</v>
      </c>
      <c r="R415" s="118">
        <f>R416</f>
        <v>3768516.65</v>
      </c>
      <c r="S415" s="118">
        <f>S416</f>
        <v>1373373.5500000003</v>
      </c>
      <c r="T415" s="118">
        <f t="shared" si="53"/>
        <v>1858.0220423502203</v>
      </c>
      <c r="U415" s="118">
        <f>U416</f>
        <v>2094.4561682445615</v>
      </c>
      <c r="V415" s="183">
        <f t="shared" si="55"/>
        <v>236.43412589434115</v>
      </c>
      <c r="W415" s="183"/>
      <c r="X415" s="183"/>
      <c r="Y415" s="64" t="e">
        <f t="shared" si="56"/>
        <v>#N/A</v>
      </c>
      <c r="AA415" s="64" t="e">
        <f t="shared" si="57"/>
        <v>#N/A</v>
      </c>
      <c r="AC415" s="64" t="s">
        <v>708</v>
      </c>
      <c r="AD415" s="64">
        <v>780</v>
      </c>
      <c r="AH415" s="64" t="e">
        <f t="shared" si="58"/>
        <v>#N/A</v>
      </c>
      <c r="AS415" s="64" t="e">
        <f t="shared" si="59"/>
        <v>#N/A</v>
      </c>
    </row>
    <row r="416" spans="1:45" s="64" customFormat="1" ht="36" customHeight="1" x14ac:dyDescent="0.9">
      <c r="A416" s="64">
        <v>1</v>
      </c>
      <c r="B416" s="92">
        <f>SUBTOTAL(103,$A$16:A416)</f>
        <v>366</v>
      </c>
      <c r="C416" s="91" t="s">
        <v>40</v>
      </c>
      <c r="D416" s="126">
        <v>1979</v>
      </c>
      <c r="E416" s="126"/>
      <c r="F416" s="145" t="s">
        <v>273</v>
      </c>
      <c r="G416" s="126">
        <v>5</v>
      </c>
      <c r="H416" s="126">
        <v>4</v>
      </c>
      <c r="I416" s="118">
        <v>2767.4</v>
      </c>
      <c r="J416" s="118">
        <v>2688.6</v>
      </c>
      <c r="K416" s="118">
        <v>1642.8</v>
      </c>
      <c r="L416" s="127">
        <v>148</v>
      </c>
      <c r="M416" s="126" t="s">
        <v>271</v>
      </c>
      <c r="N416" s="126" t="s">
        <v>272</v>
      </c>
      <c r="O416" s="124" t="s">
        <v>274</v>
      </c>
      <c r="P416" s="118">
        <v>5141890.2</v>
      </c>
      <c r="Q416" s="118">
        <v>0</v>
      </c>
      <c r="R416" s="118">
        <v>3768516.65</v>
      </c>
      <c r="S416" s="118">
        <f>P416-Q416-R416</f>
        <v>1373373.5500000003</v>
      </c>
      <c r="T416" s="118">
        <f t="shared" si="53"/>
        <v>1858.0220423502203</v>
      </c>
      <c r="U416" s="118">
        <f>Y416</f>
        <v>2094.4561682445615</v>
      </c>
      <c r="V416" s="183">
        <f t="shared" si="55"/>
        <v>236.43412589434115</v>
      </c>
      <c r="W416" s="183"/>
      <c r="X416" s="183"/>
      <c r="Y416" s="64">
        <f t="shared" si="56"/>
        <v>2094.4561682445615</v>
      </c>
      <c r="AA416" s="64">
        <f t="shared" si="57"/>
        <v>1110</v>
      </c>
      <c r="AC416" s="64" t="s">
        <v>685</v>
      </c>
      <c r="AD416" s="64">
        <v>710</v>
      </c>
      <c r="AH416" s="64" t="e">
        <f t="shared" si="58"/>
        <v>#N/A</v>
      </c>
      <c r="AS416" s="64" t="e">
        <f t="shared" si="59"/>
        <v>#N/A</v>
      </c>
    </row>
    <row r="417" spans="1:45" s="64" customFormat="1" ht="36" customHeight="1" x14ac:dyDescent="0.9">
      <c r="B417" s="91" t="s">
        <v>867</v>
      </c>
      <c r="C417" s="91"/>
      <c r="D417" s="126" t="s">
        <v>916</v>
      </c>
      <c r="E417" s="126" t="s">
        <v>916</v>
      </c>
      <c r="F417" s="126" t="s">
        <v>916</v>
      </c>
      <c r="G417" s="126" t="s">
        <v>916</v>
      </c>
      <c r="H417" s="126" t="s">
        <v>916</v>
      </c>
      <c r="I417" s="117">
        <f>SUM(I418:I421)</f>
        <v>21697.839999999997</v>
      </c>
      <c r="J417" s="117">
        <f>SUM(J418:J421)</f>
        <v>16236.63</v>
      </c>
      <c r="K417" s="117">
        <f>SUM(K418:K421)</f>
        <v>11477.43</v>
      </c>
      <c r="L417" s="127">
        <f>SUM(L418:L421)</f>
        <v>751</v>
      </c>
      <c r="M417" s="126" t="s">
        <v>916</v>
      </c>
      <c r="N417" s="126" t="s">
        <v>916</v>
      </c>
      <c r="O417" s="124" t="s">
        <v>916</v>
      </c>
      <c r="P417" s="117">
        <v>21864677.539999999</v>
      </c>
      <c r="Q417" s="117">
        <f>SUM(Q418:Q421)</f>
        <v>0</v>
      </c>
      <c r="R417" s="117">
        <f>SUM(R418:R421)</f>
        <v>0</v>
      </c>
      <c r="S417" s="117">
        <f>SUM(S418:S421)</f>
        <v>21864677.539999999</v>
      </c>
      <c r="T417" s="118">
        <f t="shared" si="53"/>
        <v>1007.6891312683661</v>
      </c>
      <c r="U417" s="118">
        <f>MAX(U418:U421)</f>
        <v>3255.8500000000004</v>
      </c>
      <c r="V417" s="183">
        <f t="shared" si="55"/>
        <v>2248.1608687316343</v>
      </c>
      <c r="W417" s="183"/>
      <c r="X417" s="183"/>
      <c r="Y417" s="64" t="e">
        <f t="shared" si="56"/>
        <v>#N/A</v>
      </c>
      <c r="AA417" s="64" t="e">
        <f t="shared" si="57"/>
        <v>#N/A</v>
      </c>
      <c r="AC417" s="64" t="s">
        <v>690</v>
      </c>
      <c r="AD417" s="64">
        <v>750</v>
      </c>
      <c r="AH417" s="64" t="e">
        <f t="shared" si="58"/>
        <v>#N/A</v>
      </c>
      <c r="AS417" s="64" t="e">
        <f t="shared" si="59"/>
        <v>#N/A</v>
      </c>
    </row>
    <row r="418" spans="1:45" s="64" customFormat="1" ht="36" customHeight="1" x14ac:dyDescent="0.9">
      <c r="A418" s="64">
        <v>1</v>
      </c>
      <c r="B418" s="92">
        <f>SUBTOTAL(103,$A$16:A418)</f>
        <v>367</v>
      </c>
      <c r="C418" s="91" t="s">
        <v>63</v>
      </c>
      <c r="D418" s="126">
        <v>1976</v>
      </c>
      <c r="E418" s="126"/>
      <c r="F418" s="145" t="s">
        <v>273</v>
      </c>
      <c r="G418" s="126">
        <v>5</v>
      </c>
      <c r="H418" s="126">
        <v>6</v>
      </c>
      <c r="I418" s="118">
        <v>4783.1499999999996</v>
      </c>
      <c r="J418" s="118">
        <v>4417.7</v>
      </c>
      <c r="K418" s="118">
        <v>3106.56</v>
      </c>
      <c r="L418" s="127">
        <v>188</v>
      </c>
      <c r="M418" s="126" t="s">
        <v>271</v>
      </c>
      <c r="N418" s="126" t="s">
        <v>275</v>
      </c>
      <c r="O418" s="124" t="s">
        <v>276</v>
      </c>
      <c r="P418" s="118">
        <v>6494255.6099999994</v>
      </c>
      <c r="Q418" s="118">
        <v>0</v>
      </c>
      <c r="R418" s="118">
        <v>0</v>
      </c>
      <c r="S418" s="118">
        <f>P418-Q418-R418</f>
        <v>6494255.6099999994</v>
      </c>
      <c r="T418" s="118">
        <f t="shared" si="53"/>
        <v>1357.7361383188902</v>
      </c>
      <c r="U418" s="118">
        <f>Y418</f>
        <v>1550.2244336890963</v>
      </c>
      <c r="V418" s="183">
        <f t="shared" si="55"/>
        <v>192.48829537020606</v>
      </c>
      <c r="W418" s="183"/>
      <c r="X418" s="183"/>
      <c r="Y418" s="64">
        <f t="shared" si="56"/>
        <v>1550.2244336890963</v>
      </c>
      <c r="AA418" s="64">
        <f t="shared" si="57"/>
        <v>1420</v>
      </c>
      <c r="AC418" s="64" t="s">
        <v>689</v>
      </c>
      <c r="AD418" s="64">
        <v>705.5</v>
      </c>
      <c r="AH418" s="64" t="e">
        <f t="shared" si="58"/>
        <v>#N/A</v>
      </c>
      <c r="AS418" s="64" t="e">
        <f t="shared" si="59"/>
        <v>#N/A</v>
      </c>
    </row>
    <row r="419" spans="1:45" s="64" customFormat="1" ht="36" customHeight="1" x14ac:dyDescent="0.9">
      <c r="A419" s="64">
        <v>1</v>
      </c>
      <c r="B419" s="92">
        <f>SUBTOTAL(103,$A$16:A419)</f>
        <v>368</v>
      </c>
      <c r="C419" s="91" t="s">
        <v>1282</v>
      </c>
      <c r="D419" s="126">
        <v>1969</v>
      </c>
      <c r="E419" s="126"/>
      <c r="F419" s="145" t="s">
        <v>273</v>
      </c>
      <c r="G419" s="126">
        <v>5</v>
      </c>
      <c r="H419" s="126">
        <v>6</v>
      </c>
      <c r="I419" s="118">
        <v>3852.2</v>
      </c>
      <c r="J419" s="118">
        <v>2261.6999999999998</v>
      </c>
      <c r="K419" s="118">
        <v>1274.48</v>
      </c>
      <c r="L419" s="127">
        <v>143</v>
      </c>
      <c r="M419" s="126" t="s">
        <v>271</v>
      </c>
      <c r="N419" s="126" t="s">
        <v>275</v>
      </c>
      <c r="O419" s="124" t="s">
        <v>1333</v>
      </c>
      <c r="P419" s="118">
        <v>3789390.1299999994</v>
      </c>
      <c r="Q419" s="118">
        <v>0</v>
      </c>
      <c r="R419" s="118">
        <v>0</v>
      </c>
      <c r="S419" s="118">
        <f>P419-Q419-R419</f>
        <v>3789390.1299999994</v>
      </c>
      <c r="T419" s="118">
        <f t="shared" si="53"/>
        <v>983.69506515757223</v>
      </c>
      <c r="U419" s="118">
        <v>3255.8500000000004</v>
      </c>
      <c r="V419" s="183">
        <f t="shared" si="55"/>
        <v>2272.1549348424282</v>
      </c>
      <c r="W419" s="183"/>
      <c r="X419" s="183"/>
      <c r="Y419" s="64" t="e">
        <f t="shared" si="56"/>
        <v>#N/A</v>
      </c>
      <c r="AA419" s="64" t="e">
        <f t="shared" si="57"/>
        <v>#N/A</v>
      </c>
      <c r="AC419" s="64" t="s">
        <v>240</v>
      </c>
      <c r="AD419" s="64">
        <v>1509</v>
      </c>
      <c r="AH419" s="64" t="e">
        <f t="shared" si="58"/>
        <v>#N/A</v>
      </c>
      <c r="AS419" s="64" t="e">
        <f t="shared" si="59"/>
        <v>#N/A</v>
      </c>
    </row>
    <row r="420" spans="1:45" s="64" customFormat="1" ht="36" customHeight="1" x14ac:dyDescent="0.9">
      <c r="A420" s="64">
        <v>1</v>
      </c>
      <c r="B420" s="92">
        <f>SUBTOTAL(103,$A$16:A420)</f>
        <v>369</v>
      </c>
      <c r="C420" s="91" t="s">
        <v>1602</v>
      </c>
      <c r="D420" s="126">
        <v>1971</v>
      </c>
      <c r="E420" s="126"/>
      <c r="F420" s="145" t="s">
        <v>273</v>
      </c>
      <c r="G420" s="126">
        <v>5</v>
      </c>
      <c r="H420" s="126">
        <v>6</v>
      </c>
      <c r="I420" s="118">
        <v>5891.74</v>
      </c>
      <c r="J420" s="118">
        <v>4464.33</v>
      </c>
      <c r="K420" s="118">
        <v>4081.34</v>
      </c>
      <c r="L420" s="127">
        <v>207</v>
      </c>
      <c r="M420" s="126" t="s">
        <v>271</v>
      </c>
      <c r="N420" s="126" t="s">
        <v>275</v>
      </c>
      <c r="O420" s="124" t="s">
        <v>1333</v>
      </c>
      <c r="P420" s="118">
        <v>5709104.1399999997</v>
      </c>
      <c r="Q420" s="118">
        <v>0</v>
      </c>
      <c r="R420" s="118">
        <v>0</v>
      </c>
      <c r="S420" s="118">
        <f>P420-R420-Q420</f>
        <v>5709104.1399999997</v>
      </c>
      <c r="T420" s="118">
        <f t="shared" si="53"/>
        <v>969.00137141150151</v>
      </c>
      <c r="U420" s="118">
        <f>Y420</f>
        <v>1179.6541938374742</v>
      </c>
      <c r="V420" s="183">
        <f t="shared" si="55"/>
        <v>210.65282242597266</v>
      </c>
      <c r="W420" s="183"/>
      <c r="X420" s="183"/>
      <c r="Y420" s="64">
        <f t="shared" si="56"/>
        <v>1179.6541938374742</v>
      </c>
      <c r="AA420" s="64">
        <f t="shared" si="57"/>
        <v>1331</v>
      </c>
      <c r="AC420" s="64" t="s">
        <v>1660</v>
      </c>
      <c r="AD420" s="64">
        <v>280</v>
      </c>
      <c r="AH420" s="64" t="e">
        <f t="shared" si="58"/>
        <v>#N/A</v>
      </c>
      <c r="AS420" s="64" t="e">
        <f t="shared" si="59"/>
        <v>#N/A</v>
      </c>
    </row>
    <row r="421" spans="1:45" s="64" customFormat="1" ht="36" customHeight="1" x14ac:dyDescent="0.9">
      <c r="A421" s="64">
        <v>1</v>
      </c>
      <c r="B421" s="92">
        <f>SUBTOTAL(103,$A$16:A421)</f>
        <v>370</v>
      </c>
      <c r="C421" s="91" t="s">
        <v>52</v>
      </c>
      <c r="D421" s="126">
        <v>1981</v>
      </c>
      <c r="E421" s="126"/>
      <c r="F421" s="145" t="s">
        <v>273</v>
      </c>
      <c r="G421" s="126">
        <v>5</v>
      </c>
      <c r="H421" s="126">
        <v>8</v>
      </c>
      <c r="I421" s="118">
        <v>7170.75</v>
      </c>
      <c r="J421" s="118">
        <v>5092.8999999999996</v>
      </c>
      <c r="K421" s="118">
        <v>3015.05</v>
      </c>
      <c r="L421" s="127">
        <v>213</v>
      </c>
      <c r="M421" s="126" t="s">
        <v>271</v>
      </c>
      <c r="N421" s="126" t="s">
        <v>275</v>
      </c>
      <c r="O421" s="124" t="s">
        <v>276</v>
      </c>
      <c r="P421" s="118">
        <v>5871927.6600000001</v>
      </c>
      <c r="Q421" s="118">
        <v>0</v>
      </c>
      <c r="R421" s="118">
        <v>0</v>
      </c>
      <c r="S421" s="118">
        <f>P421-R421-Q421</f>
        <v>5871927.6600000001</v>
      </c>
      <c r="T421" s="118">
        <f t="shared" si="53"/>
        <v>818.87217655057009</v>
      </c>
      <c r="U421" s="118">
        <f>Y421</f>
        <v>991.09155946030751</v>
      </c>
      <c r="V421" s="183">
        <f t="shared" si="55"/>
        <v>172.21938290973742</v>
      </c>
      <c r="W421" s="183"/>
      <c r="X421" s="183"/>
      <c r="Y421" s="64">
        <f t="shared" si="56"/>
        <v>991.09155946030751</v>
      </c>
      <c r="AA421" s="64">
        <f t="shared" si="57"/>
        <v>1361</v>
      </c>
      <c r="AC421" s="64" t="s">
        <v>247</v>
      </c>
      <c r="AD421" s="64">
        <v>442.2</v>
      </c>
      <c r="AH421" s="64" t="e">
        <f t="shared" si="58"/>
        <v>#N/A</v>
      </c>
      <c r="AS421" s="64" t="e">
        <f t="shared" si="59"/>
        <v>#N/A</v>
      </c>
    </row>
    <row r="422" spans="1:45" s="64" customFormat="1" ht="36" customHeight="1" x14ac:dyDescent="0.9">
      <c r="B422" s="91" t="s">
        <v>868</v>
      </c>
      <c r="C422" s="91"/>
      <c r="D422" s="126" t="s">
        <v>916</v>
      </c>
      <c r="E422" s="126" t="s">
        <v>916</v>
      </c>
      <c r="F422" s="126" t="s">
        <v>916</v>
      </c>
      <c r="G422" s="126" t="s">
        <v>916</v>
      </c>
      <c r="H422" s="126" t="s">
        <v>916</v>
      </c>
      <c r="I422" s="117">
        <f>SUM(I423:I429)</f>
        <v>21187.5</v>
      </c>
      <c r="J422" s="117">
        <f>SUM(J423:J429)</f>
        <v>16500.03</v>
      </c>
      <c r="K422" s="117">
        <f>SUM(K423:K429)</f>
        <v>14836.630000000001</v>
      </c>
      <c r="L422" s="127">
        <f>SUM(L423:L429)</f>
        <v>986</v>
      </c>
      <c r="M422" s="126" t="s">
        <v>916</v>
      </c>
      <c r="N422" s="126" t="s">
        <v>916</v>
      </c>
      <c r="O422" s="124" t="s">
        <v>916</v>
      </c>
      <c r="P422" s="117">
        <v>34570625.039999999</v>
      </c>
      <c r="Q422" s="117">
        <f>SUM(Q423:Q429)</f>
        <v>0</v>
      </c>
      <c r="R422" s="117">
        <f>SUM(R423:R429)</f>
        <v>0</v>
      </c>
      <c r="S422" s="117">
        <f>SUM(S423:S429)</f>
        <v>34570625.039999999</v>
      </c>
      <c r="T422" s="118">
        <f t="shared" si="53"/>
        <v>1631.6519192920352</v>
      </c>
      <c r="U422" s="118">
        <f>MAX(U423:U429)</f>
        <v>5478.6765583599454</v>
      </c>
      <c r="V422" s="183">
        <f t="shared" si="55"/>
        <v>3847.0246390679104</v>
      </c>
      <c r="W422" s="183"/>
      <c r="X422" s="183"/>
      <c r="Y422" s="64" t="e">
        <f t="shared" si="56"/>
        <v>#N/A</v>
      </c>
      <c r="AA422" s="64" t="e">
        <f t="shared" si="57"/>
        <v>#N/A</v>
      </c>
      <c r="AC422" s="64" t="s">
        <v>2</v>
      </c>
      <c r="AD422" s="64">
        <v>500</v>
      </c>
      <c r="AH422" s="64" t="e">
        <f t="shared" si="58"/>
        <v>#N/A</v>
      </c>
      <c r="AS422" s="64" t="e">
        <f t="shared" si="59"/>
        <v>#N/A</v>
      </c>
    </row>
    <row r="423" spans="1:45" s="64" customFormat="1" ht="36" customHeight="1" x14ac:dyDescent="0.9">
      <c r="A423" s="64">
        <v>1</v>
      </c>
      <c r="B423" s="92">
        <f>SUBTOTAL(103,$A$16:A423)</f>
        <v>371</v>
      </c>
      <c r="C423" s="91" t="s">
        <v>47</v>
      </c>
      <c r="D423" s="126">
        <v>1964</v>
      </c>
      <c r="E423" s="126"/>
      <c r="F423" s="145" t="s">
        <v>273</v>
      </c>
      <c r="G423" s="126">
        <v>3</v>
      </c>
      <c r="H423" s="126">
        <v>2</v>
      </c>
      <c r="I423" s="118">
        <v>961.6</v>
      </c>
      <c r="J423" s="118">
        <v>723.4</v>
      </c>
      <c r="K423" s="118">
        <v>723.4</v>
      </c>
      <c r="L423" s="127">
        <v>26</v>
      </c>
      <c r="M423" s="126" t="s">
        <v>271</v>
      </c>
      <c r="N423" s="126" t="s">
        <v>275</v>
      </c>
      <c r="O423" s="124" t="s">
        <v>277</v>
      </c>
      <c r="P423" s="118">
        <v>3272502.06</v>
      </c>
      <c r="Q423" s="118">
        <v>0</v>
      </c>
      <c r="R423" s="118">
        <v>0</v>
      </c>
      <c r="S423" s="118">
        <f t="shared" ref="S423:S429" si="60">P423-Q423-R423</f>
        <v>3272502.06</v>
      </c>
      <c r="T423" s="118">
        <f t="shared" si="53"/>
        <v>3403.1843386023293</v>
      </c>
      <c r="U423" s="118">
        <f>Y423</f>
        <v>3403.1843386023297</v>
      </c>
      <c r="V423" s="183">
        <f t="shared" si="55"/>
        <v>0</v>
      </c>
      <c r="W423" s="183"/>
      <c r="X423" s="183"/>
      <c r="Y423" s="64">
        <f t="shared" si="56"/>
        <v>3403.1843386023297</v>
      </c>
      <c r="AA423" s="64">
        <f t="shared" si="57"/>
        <v>626.70000000000005</v>
      </c>
      <c r="AC423" s="64" t="s">
        <v>1</v>
      </c>
      <c r="AD423" s="64">
        <v>600</v>
      </c>
      <c r="AH423" s="64" t="e">
        <f t="shared" si="58"/>
        <v>#N/A</v>
      </c>
      <c r="AS423" s="64" t="e">
        <f t="shared" si="59"/>
        <v>#N/A</v>
      </c>
    </row>
    <row r="424" spans="1:45" s="64" customFormat="1" ht="36" customHeight="1" x14ac:dyDescent="0.9">
      <c r="A424" s="64">
        <v>1</v>
      </c>
      <c r="B424" s="92">
        <f>SUBTOTAL(103,$A$16:A424)</f>
        <v>372</v>
      </c>
      <c r="C424" s="91" t="s">
        <v>821</v>
      </c>
      <c r="D424" s="126">
        <v>1989</v>
      </c>
      <c r="E424" s="126"/>
      <c r="F424" s="145" t="s">
        <v>273</v>
      </c>
      <c r="G424" s="126">
        <v>4</v>
      </c>
      <c r="H424" s="126">
        <v>1</v>
      </c>
      <c r="I424" s="118">
        <v>1871.3</v>
      </c>
      <c r="J424" s="118">
        <v>779.1</v>
      </c>
      <c r="K424" s="118">
        <v>779.1</v>
      </c>
      <c r="L424" s="127">
        <v>88</v>
      </c>
      <c r="M424" s="126" t="s">
        <v>271</v>
      </c>
      <c r="N424" s="126" t="s">
        <v>272</v>
      </c>
      <c r="O424" s="124" t="s">
        <v>274</v>
      </c>
      <c r="P424" s="118">
        <v>3257538.05</v>
      </c>
      <c r="Q424" s="118">
        <v>0</v>
      </c>
      <c r="R424" s="118">
        <v>0</v>
      </c>
      <c r="S424" s="118">
        <f t="shared" si="60"/>
        <v>3257538.05</v>
      </c>
      <c r="T424" s="118">
        <f t="shared" si="53"/>
        <v>1740.7887831988457</v>
      </c>
      <c r="U424" s="118">
        <f>Y424</f>
        <v>1797.0604392668199</v>
      </c>
      <c r="V424" s="183">
        <f t="shared" si="55"/>
        <v>56.271656067974163</v>
      </c>
      <c r="W424" s="183"/>
      <c r="X424" s="183"/>
      <c r="Y424" s="64">
        <f t="shared" si="56"/>
        <v>1797.0604392668199</v>
      </c>
      <c r="AA424" s="64">
        <f t="shared" si="57"/>
        <v>644</v>
      </c>
      <c r="AC424" s="64" t="s">
        <v>718</v>
      </c>
      <c r="AD424" s="64">
        <v>2000</v>
      </c>
      <c r="AH424" s="64" t="e">
        <f t="shared" si="58"/>
        <v>#N/A</v>
      </c>
      <c r="AS424" s="64" t="e">
        <f t="shared" si="59"/>
        <v>#N/A</v>
      </c>
    </row>
    <row r="425" spans="1:45" s="64" customFormat="1" ht="36" customHeight="1" x14ac:dyDescent="0.9">
      <c r="A425" s="64">
        <v>1</v>
      </c>
      <c r="B425" s="92">
        <f>SUBTOTAL(103,$A$16:A425)</f>
        <v>373</v>
      </c>
      <c r="C425" s="91" t="s">
        <v>1270</v>
      </c>
      <c r="D425" s="126">
        <v>1977</v>
      </c>
      <c r="E425" s="126"/>
      <c r="F425" s="145" t="s">
        <v>273</v>
      </c>
      <c r="G425" s="126">
        <v>5</v>
      </c>
      <c r="H425" s="126">
        <v>4</v>
      </c>
      <c r="I425" s="118">
        <v>3403.05</v>
      </c>
      <c r="J425" s="118">
        <v>3132.12</v>
      </c>
      <c r="K425" s="118">
        <v>3132.12</v>
      </c>
      <c r="L425" s="127">
        <v>182</v>
      </c>
      <c r="M425" s="126" t="s">
        <v>271</v>
      </c>
      <c r="N425" s="126" t="s">
        <v>275</v>
      </c>
      <c r="O425" s="124" t="s">
        <v>1335</v>
      </c>
      <c r="P425" s="118">
        <v>5055398.59</v>
      </c>
      <c r="Q425" s="118">
        <v>0</v>
      </c>
      <c r="R425" s="118">
        <v>0</v>
      </c>
      <c r="S425" s="118">
        <f t="shared" si="60"/>
        <v>5055398.59</v>
      </c>
      <c r="T425" s="118">
        <f t="shared" si="53"/>
        <v>1485.549313116175</v>
      </c>
      <c r="U425" s="118">
        <v>3255.8500000000004</v>
      </c>
      <c r="V425" s="183">
        <f t="shared" si="55"/>
        <v>1770.3006868838254</v>
      </c>
      <c r="W425" s="183"/>
      <c r="X425" s="183"/>
      <c r="Y425" s="64" t="e">
        <f t="shared" si="56"/>
        <v>#N/A</v>
      </c>
      <c r="AA425" s="64" t="e">
        <f t="shared" si="57"/>
        <v>#N/A</v>
      </c>
      <c r="AC425" s="64" t="s">
        <v>724</v>
      </c>
      <c r="AD425" s="64">
        <v>600</v>
      </c>
      <c r="AH425" s="64" t="e">
        <f t="shared" si="58"/>
        <v>#N/A</v>
      </c>
      <c r="AS425" s="64" t="e">
        <f t="shared" si="59"/>
        <v>#N/A</v>
      </c>
    </row>
    <row r="426" spans="1:45" s="64" customFormat="1" ht="36" customHeight="1" x14ac:dyDescent="0.9">
      <c r="A426" s="64">
        <v>1</v>
      </c>
      <c r="B426" s="92">
        <f>SUBTOTAL(103,$A$16:A426)</f>
        <v>374</v>
      </c>
      <c r="C426" s="91" t="s">
        <v>1271</v>
      </c>
      <c r="D426" s="126">
        <v>1992</v>
      </c>
      <c r="E426" s="126"/>
      <c r="F426" s="145" t="s">
        <v>273</v>
      </c>
      <c r="G426" s="126">
        <v>5</v>
      </c>
      <c r="H426" s="126">
        <v>5</v>
      </c>
      <c r="I426" s="118">
        <v>3685.4</v>
      </c>
      <c r="J426" s="118">
        <v>3322.7</v>
      </c>
      <c r="K426" s="118">
        <v>3214.1</v>
      </c>
      <c r="L426" s="127">
        <v>157</v>
      </c>
      <c r="M426" s="126" t="s">
        <v>271</v>
      </c>
      <c r="N426" s="126" t="s">
        <v>275</v>
      </c>
      <c r="O426" s="124" t="s">
        <v>1335</v>
      </c>
      <c r="P426" s="118">
        <v>5685725.29</v>
      </c>
      <c r="Q426" s="118">
        <v>0</v>
      </c>
      <c r="R426" s="118">
        <v>0</v>
      </c>
      <c r="S426" s="118">
        <f t="shared" si="60"/>
        <v>5685725.29</v>
      </c>
      <c r="T426" s="118">
        <f t="shared" si="53"/>
        <v>1542.770198621588</v>
      </c>
      <c r="U426" s="118">
        <v>3255.8500000000004</v>
      </c>
      <c r="V426" s="183">
        <f t="shared" si="55"/>
        <v>1713.0798013784124</v>
      </c>
      <c r="W426" s="183"/>
      <c r="X426" s="183"/>
      <c r="Y426" s="64" t="e">
        <f t="shared" si="56"/>
        <v>#N/A</v>
      </c>
      <c r="AA426" s="64" t="e">
        <f t="shared" si="57"/>
        <v>#N/A</v>
      </c>
      <c r="AC426" s="64" t="s">
        <v>721</v>
      </c>
      <c r="AD426" s="64">
        <v>702</v>
      </c>
      <c r="AH426" s="64" t="e">
        <f t="shared" si="58"/>
        <v>#N/A</v>
      </c>
      <c r="AS426" s="64" t="e">
        <f t="shared" si="59"/>
        <v>#N/A</v>
      </c>
    </row>
    <row r="427" spans="1:45" s="64" customFormat="1" ht="36" customHeight="1" x14ac:dyDescent="0.9">
      <c r="A427" s="64">
        <v>1</v>
      </c>
      <c r="B427" s="92">
        <f>SUBTOTAL(103,$A$16:A427)</f>
        <v>375</v>
      </c>
      <c r="C427" s="91" t="s">
        <v>1272</v>
      </c>
      <c r="D427" s="126">
        <v>1970</v>
      </c>
      <c r="E427" s="126"/>
      <c r="F427" s="145" t="s">
        <v>273</v>
      </c>
      <c r="G427" s="126">
        <v>5</v>
      </c>
      <c r="H427" s="126">
        <v>3</v>
      </c>
      <c r="I427" s="118">
        <v>3891.1</v>
      </c>
      <c r="J427" s="118">
        <v>2505.5</v>
      </c>
      <c r="K427" s="118">
        <v>950.7</v>
      </c>
      <c r="L427" s="127">
        <v>253</v>
      </c>
      <c r="M427" s="126" t="s">
        <v>271</v>
      </c>
      <c r="N427" s="126" t="s">
        <v>275</v>
      </c>
      <c r="O427" s="124" t="s">
        <v>1335</v>
      </c>
      <c r="P427" s="118">
        <v>3267591.73</v>
      </c>
      <c r="Q427" s="118">
        <v>0</v>
      </c>
      <c r="R427" s="118">
        <v>0</v>
      </c>
      <c r="S427" s="118">
        <f t="shared" si="60"/>
        <v>3267591.73</v>
      </c>
      <c r="T427" s="118">
        <f t="shared" si="53"/>
        <v>839.76040965279742</v>
      </c>
      <c r="U427" s="118">
        <v>2753.19</v>
      </c>
      <c r="V427" s="183">
        <f t="shared" si="55"/>
        <v>1913.4295903472025</v>
      </c>
      <c r="W427" s="183"/>
      <c r="X427" s="183"/>
      <c r="Y427" s="64" t="e">
        <f t="shared" si="56"/>
        <v>#N/A</v>
      </c>
      <c r="AA427" s="64" t="e">
        <f t="shared" si="57"/>
        <v>#N/A</v>
      </c>
      <c r="AC427" s="64" t="s">
        <v>124</v>
      </c>
      <c r="AD427" s="64">
        <v>662.5</v>
      </c>
      <c r="AH427" s="64" t="e">
        <f t="shared" si="58"/>
        <v>#N/A</v>
      </c>
      <c r="AS427" s="64" t="e">
        <f t="shared" si="59"/>
        <v>#N/A</v>
      </c>
    </row>
    <row r="428" spans="1:45" s="64" customFormat="1" ht="36" customHeight="1" x14ac:dyDescent="0.9">
      <c r="A428" s="64">
        <v>1</v>
      </c>
      <c r="B428" s="92">
        <f>SUBTOTAL(103,$A$16:A428)</f>
        <v>376</v>
      </c>
      <c r="C428" s="91" t="s">
        <v>1273</v>
      </c>
      <c r="D428" s="126">
        <v>1982</v>
      </c>
      <c r="E428" s="126"/>
      <c r="F428" s="145" t="s">
        <v>273</v>
      </c>
      <c r="G428" s="126">
        <v>5</v>
      </c>
      <c r="H428" s="126">
        <v>7</v>
      </c>
      <c r="I428" s="118">
        <v>6331.45</v>
      </c>
      <c r="J428" s="118">
        <v>5066.51</v>
      </c>
      <c r="K428" s="118">
        <v>5066.51</v>
      </c>
      <c r="L428" s="127">
        <v>218</v>
      </c>
      <c r="M428" s="126" t="s">
        <v>271</v>
      </c>
      <c r="N428" s="126" t="s">
        <v>275</v>
      </c>
      <c r="O428" s="124" t="s">
        <v>277</v>
      </c>
      <c r="P428" s="118">
        <v>9394873.7499999981</v>
      </c>
      <c r="Q428" s="118">
        <v>0</v>
      </c>
      <c r="R428" s="118">
        <v>0</v>
      </c>
      <c r="S428" s="118">
        <f t="shared" si="60"/>
        <v>9394873.7499999981</v>
      </c>
      <c r="T428" s="118">
        <f t="shared" si="53"/>
        <v>1483.8423662826049</v>
      </c>
      <c r="U428" s="118">
        <v>3929.63</v>
      </c>
      <c r="V428" s="183">
        <f t="shared" si="55"/>
        <v>2445.7876337173952</v>
      </c>
      <c r="W428" s="183"/>
      <c r="X428" s="183"/>
      <c r="Y428" s="64" t="e">
        <f t="shared" si="56"/>
        <v>#N/A</v>
      </c>
      <c r="AA428" s="64" t="e">
        <f t="shared" si="57"/>
        <v>#N/A</v>
      </c>
      <c r="AC428" s="64" t="s">
        <v>129</v>
      </c>
      <c r="AD428" s="64">
        <v>754.2</v>
      </c>
      <c r="AH428" s="64" t="e">
        <f t="shared" si="58"/>
        <v>#N/A</v>
      </c>
      <c r="AS428" s="64" t="e">
        <f t="shared" si="59"/>
        <v>#N/A</v>
      </c>
    </row>
    <row r="429" spans="1:45" s="64" customFormat="1" ht="36" customHeight="1" x14ac:dyDescent="0.9">
      <c r="A429" s="64">
        <v>1</v>
      </c>
      <c r="B429" s="92">
        <f>SUBTOTAL(103,$A$16:A429)</f>
        <v>377</v>
      </c>
      <c r="C429" s="91" t="s">
        <v>1274</v>
      </c>
      <c r="D429" s="126">
        <v>1964</v>
      </c>
      <c r="E429" s="126"/>
      <c r="F429" s="145" t="s">
        <v>273</v>
      </c>
      <c r="G429" s="126">
        <v>3</v>
      </c>
      <c r="H429" s="126">
        <v>2</v>
      </c>
      <c r="I429" s="118">
        <v>1043.5999999999999</v>
      </c>
      <c r="J429" s="118">
        <v>970.7</v>
      </c>
      <c r="K429" s="118">
        <v>970.7</v>
      </c>
      <c r="L429" s="127">
        <v>62</v>
      </c>
      <c r="M429" s="126" t="s">
        <v>271</v>
      </c>
      <c r="N429" s="126" t="s">
        <v>275</v>
      </c>
      <c r="O429" s="124" t="s">
        <v>277</v>
      </c>
      <c r="P429" s="118">
        <v>4636995.57</v>
      </c>
      <c r="Q429" s="118">
        <v>0</v>
      </c>
      <c r="R429" s="118">
        <v>0</v>
      </c>
      <c r="S429" s="118">
        <f t="shared" si="60"/>
        <v>4636995.57</v>
      </c>
      <c r="T429" s="118">
        <f t="shared" si="53"/>
        <v>4443.2690398620171</v>
      </c>
      <c r="U429" s="118">
        <f>AG429</f>
        <v>5478.6765583599454</v>
      </c>
      <c r="V429" s="183">
        <f t="shared" si="55"/>
        <v>1035.4075184979283</v>
      </c>
      <c r="W429" s="183"/>
      <c r="X429" s="183"/>
      <c r="Y429" s="64" t="e">
        <f t="shared" si="56"/>
        <v>#N/A</v>
      </c>
      <c r="AA429" s="64" t="e">
        <f t="shared" si="57"/>
        <v>#N/A</v>
      </c>
      <c r="AC429" s="64" t="s">
        <v>127</v>
      </c>
      <c r="AD429" s="64">
        <v>886</v>
      </c>
      <c r="AG429" s="64">
        <f>AH429*6191.24/J429</f>
        <v>5478.6765583599454</v>
      </c>
      <c r="AH429" s="64">
        <f t="shared" si="58"/>
        <v>858.98</v>
      </c>
      <c r="AS429" s="64" t="e">
        <f t="shared" si="59"/>
        <v>#N/A</v>
      </c>
    </row>
    <row r="430" spans="1:45" s="64" customFormat="1" ht="36" customHeight="1" x14ac:dyDescent="0.9">
      <c r="B430" s="91" t="s">
        <v>869</v>
      </c>
      <c r="C430" s="91"/>
      <c r="D430" s="126" t="s">
        <v>916</v>
      </c>
      <c r="E430" s="126" t="s">
        <v>916</v>
      </c>
      <c r="F430" s="126" t="s">
        <v>916</v>
      </c>
      <c r="G430" s="126" t="s">
        <v>916</v>
      </c>
      <c r="H430" s="126" t="s">
        <v>916</v>
      </c>
      <c r="I430" s="117">
        <f>SUM(I431:I435)</f>
        <v>5121.21</v>
      </c>
      <c r="J430" s="117">
        <f>SUM(J431:J435)</f>
        <v>4137.74</v>
      </c>
      <c r="K430" s="117">
        <f>SUM(K431:K435)</f>
        <v>4095.04</v>
      </c>
      <c r="L430" s="127">
        <f>SUM(L431:L435)</f>
        <v>162</v>
      </c>
      <c r="M430" s="126" t="s">
        <v>916</v>
      </c>
      <c r="N430" s="126" t="s">
        <v>916</v>
      </c>
      <c r="O430" s="124" t="s">
        <v>916</v>
      </c>
      <c r="P430" s="118">
        <v>12742956.99</v>
      </c>
      <c r="Q430" s="118">
        <f>SUM(Q431:Q435)</f>
        <v>0</v>
      </c>
      <c r="R430" s="118">
        <f>SUM(R431:R435)</f>
        <v>0</v>
      </c>
      <c r="S430" s="118">
        <f>SUM(S431:S435)</f>
        <v>12742956.99</v>
      </c>
      <c r="T430" s="118">
        <f t="shared" si="53"/>
        <v>2488.2707387511937</v>
      </c>
      <c r="U430" s="118">
        <f>MAX(U431:U435)</f>
        <v>4477.207109275213</v>
      </c>
      <c r="V430" s="183">
        <f t="shared" si="55"/>
        <v>1988.9363705240194</v>
      </c>
      <c r="W430" s="183"/>
      <c r="X430" s="183"/>
      <c r="Y430" s="64" t="e">
        <f t="shared" si="56"/>
        <v>#N/A</v>
      </c>
      <c r="AA430" s="64" t="e">
        <f t="shared" si="57"/>
        <v>#N/A</v>
      </c>
      <c r="AC430" s="64" t="s">
        <v>130</v>
      </c>
      <c r="AD430" s="64">
        <v>670</v>
      </c>
      <c r="AH430" s="64" t="e">
        <f t="shared" si="58"/>
        <v>#N/A</v>
      </c>
      <c r="AS430" s="64" t="e">
        <f t="shared" si="59"/>
        <v>#N/A</v>
      </c>
    </row>
    <row r="431" spans="1:45" s="64" customFormat="1" ht="36" customHeight="1" x14ac:dyDescent="0.9">
      <c r="A431" s="64">
        <v>1</v>
      </c>
      <c r="B431" s="92">
        <f>SUBTOTAL(103,$A$16:A431)</f>
        <v>378</v>
      </c>
      <c r="C431" s="91" t="s">
        <v>44</v>
      </c>
      <c r="D431" s="126">
        <v>1956</v>
      </c>
      <c r="E431" s="126"/>
      <c r="F431" s="145" t="s">
        <v>273</v>
      </c>
      <c r="G431" s="126">
        <v>2</v>
      </c>
      <c r="H431" s="126">
        <v>2</v>
      </c>
      <c r="I431" s="118">
        <v>735.94</v>
      </c>
      <c r="J431" s="118">
        <v>672.45</v>
      </c>
      <c r="K431" s="118">
        <v>672.45</v>
      </c>
      <c r="L431" s="127">
        <v>31</v>
      </c>
      <c r="M431" s="126" t="s">
        <v>271</v>
      </c>
      <c r="N431" s="126" t="s">
        <v>275</v>
      </c>
      <c r="O431" s="124" t="s">
        <v>278</v>
      </c>
      <c r="P431" s="118">
        <v>2894123.18</v>
      </c>
      <c r="Q431" s="118">
        <v>0</v>
      </c>
      <c r="R431" s="118">
        <v>0</v>
      </c>
      <c r="S431" s="118">
        <f>P431-Q431-R431</f>
        <v>2894123.18</v>
      </c>
      <c r="T431" s="118">
        <f t="shared" si="53"/>
        <v>3932.5531700953879</v>
      </c>
      <c r="U431" s="118">
        <f>Y431</f>
        <v>4477.207109275213</v>
      </c>
      <c r="V431" s="183">
        <f t="shared" si="55"/>
        <v>544.6539391798251</v>
      </c>
      <c r="W431" s="183"/>
      <c r="X431" s="183"/>
      <c r="Y431" s="64">
        <f t="shared" si="56"/>
        <v>4477.207109275213</v>
      </c>
      <c r="AA431" s="64">
        <f t="shared" si="57"/>
        <v>631</v>
      </c>
      <c r="AC431" s="64" t="s">
        <v>128</v>
      </c>
      <c r="AD431" s="64">
        <v>616.12</v>
      </c>
      <c r="AH431" s="64" t="e">
        <f t="shared" si="58"/>
        <v>#N/A</v>
      </c>
      <c r="AS431" s="64" t="e">
        <f t="shared" si="59"/>
        <v>#N/A</v>
      </c>
    </row>
    <row r="432" spans="1:45" s="64" customFormat="1" ht="36" customHeight="1" x14ac:dyDescent="0.9">
      <c r="A432" s="64">
        <v>1</v>
      </c>
      <c r="B432" s="92">
        <f>SUBTOTAL(103,$A$16:A432)</f>
        <v>379</v>
      </c>
      <c r="C432" s="91" t="s">
        <v>43</v>
      </c>
      <c r="D432" s="126">
        <v>1963</v>
      </c>
      <c r="E432" s="126"/>
      <c r="F432" s="145" t="s">
        <v>273</v>
      </c>
      <c r="G432" s="126">
        <v>2</v>
      </c>
      <c r="H432" s="126">
        <v>2</v>
      </c>
      <c r="I432" s="118">
        <v>687.5</v>
      </c>
      <c r="J432" s="118">
        <v>521.5</v>
      </c>
      <c r="K432" s="118">
        <v>478.8</v>
      </c>
      <c r="L432" s="127">
        <v>14</v>
      </c>
      <c r="M432" s="126" t="s">
        <v>271</v>
      </c>
      <c r="N432" s="126" t="s">
        <v>275</v>
      </c>
      <c r="O432" s="124" t="s">
        <v>278</v>
      </c>
      <c r="P432" s="118">
        <v>2803332.29</v>
      </c>
      <c r="Q432" s="118">
        <v>0</v>
      </c>
      <c r="R432" s="118">
        <v>0</v>
      </c>
      <c r="S432" s="118">
        <f>P432-Q432-R432</f>
        <v>2803332.29</v>
      </c>
      <c r="T432" s="118">
        <f t="shared" si="53"/>
        <v>4077.5742399999999</v>
      </c>
      <c r="U432" s="118">
        <f>Y432</f>
        <v>4298.9655272727277</v>
      </c>
      <c r="V432" s="183">
        <f t="shared" si="55"/>
        <v>221.39128727272782</v>
      </c>
      <c r="W432" s="183"/>
      <c r="X432" s="183"/>
      <c r="Y432" s="64">
        <f t="shared" si="56"/>
        <v>4298.9655272727277</v>
      </c>
      <c r="AA432" s="64">
        <f t="shared" si="57"/>
        <v>566</v>
      </c>
      <c r="AC432" s="64" t="s">
        <v>125</v>
      </c>
      <c r="AD432" s="64">
        <v>773.7</v>
      </c>
      <c r="AH432" s="64" t="e">
        <f t="shared" si="58"/>
        <v>#N/A</v>
      </c>
      <c r="AS432" s="64" t="e">
        <f t="shared" si="59"/>
        <v>#N/A</v>
      </c>
    </row>
    <row r="433" spans="1:45" s="64" customFormat="1" ht="36" customHeight="1" x14ac:dyDescent="0.9">
      <c r="A433" s="64">
        <v>1</v>
      </c>
      <c r="B433" s="92">
        <f>SUBTOTAL(103,$A$16:A433)</f>
        <v>380</v>
      </c>
      <c r="C433" s="91" t="s">
        <v>45</v>
      </c>
      <c r="D433" s="126">
        <v>1964</v>
      </c>
      <c r="E433" s="126"/>
      <c r="F433" s="145" t="s">
        <v>273</v>
      </c>
      <c r="G433" s="126">
        <v>2</v>
      </c>
      <c r="H433" s="126">
        <v>2</v>
      </c>
      <c r="I433" s="118">
        <v>691.68</v>
      </c>
      <c r="J433" s="118">
        <v>643.4</v>
      </c>
      <c r="K433" s="118">
        <v>643.4</v>
      </c>
      <c r="L433" s="127">
        <v>15</v>
      </c>
      <c r="M433" s="126" t="s">
        <v>271</v>
      </c>
      <c r="N433" s="126" t="s">
        <v>275</v>
      </c>
      <c r="O433" s="124" t="s">
        <v>278</v>
      </c>
      <c r="P433" s="118">
        <v>2815620.58</v>
      </c>
      <c r="Q433" s="118">
        <v>0</v>
      </c>
      <c r="R433" s="118">
        <v>0</v>
      </c>
      <c r="S433" s="118">
        <f>P433-Q433-R433</f>
        <v>2815620.58</v>
      </c>
      <c r="T433" s="118">
        <f t="shared" si="53"/>
        <v>4070.6982708767064</v>
      </c>
      <c r="U433" s="118">
        <f>Y433</f>
        <v>4242.7879944483002</v>
      </c>
      <c r="V433" s="183">
        <f t="shared" si="55"/>
        <v>172.08972357159382</v>
      </c>
      <c r="W433" s="183"/>
      <c r="X433" s="183"/>
      <c r="Y433" s="64">
        <f t="shared" si="56"/>
        <v>4242.7879944483002</v>
      </c>
      <c r="AA433" s="64">
        <f t="shared" si="57"/>
        <v>562</v>
      </c>
      <c r="AC433" s="64" t="s">
        <v>126</v>
      </c>
      <c r="AD433" s="64">
        <v>935</v>
      </c>
      <c r="AH433" s="64" t="e">
        <f t="shared" si="58"/>
        <v>#N/A</v>
      </c>
      <c r="AS433" s="64" t="e">
        <f t="shared" si="59"/>
        <v>#N/A</v>
      </c>
    </row>
    <row r="434" spans="1:45" s="64" customFormat="1" ht="36" customHeight="1" x14ac:dyDescent="0.9">
      <c r="A434" s="64">
        <v>1</v>
      </c>
      <c r="B434" s="92">
        <f>SUBTOTAL(103,$A$16:A434)</f>
        <v>381</v>
      </c>
      <c r="C434" s="91" t="s">
        <v>1280</v>
      </c>
      <c r="D434" s="126">
        <v>1974</v>
      </c>
      <c r="E434" s="126"/>
      <c r="F434" s="145" t="s">
        <v>273</v>
      </c>
      <c r="G434" s="126">
        <v>5</v>
      </c>
      <c r="H434" s="126">
        <v>2</v>
      </c>
      <c r="I434" s="118">
        <v>2403.29</v>
      </c>
      <c r="J434" s="118">
        <v>1756.39</v>
      </c>
      <c r="K434" s="118">
        <v>1756.39</v>
      </c>
      <c r="L434" s="127">
        <v>78</v>
      </c>
      <c r="M434" s="126" t="s">
        <v>271</v>
      </c>
      <c r="N434" s="126" t="s">
        <v>275</v>
      </c>
      <c r="O434" s="124" t="s">
        <v>278</v>
      </c>
      <c r="P434" s="118">
        <v>2913595.52</v>
      </c>
      <c r="Q434" s="118">
        <v>0</v>
      </c>
      <c r="R434" s="118">
        <v>0</v>
      </c>
      <c r="S434" s="118">
        <f>P434-Q434-R434</f>
        <v>2913595.52</v>
      </c>
      <c r="T434" s="118">
        <f t="shared" si="53"/>
        <v>1212.336222428421</v>
      </c>
      <c r="U434" s="118">
        <v>3521.88</v>
      </c>
      <c r="V434" s="183">
        <f t="shared" si="55"/>
        <v>2309.5437775715791</v>
      </c>
      <c r="W434" s="183"/>
      <c r="X434" s="183"/>
      <c r="Y434" s="64" t="e">
        <f t="shared" si="56"/>
        <v>#N/A</v>
      </c>
      <c r="AA434" s="64" t="e">
        <f t="shared" si="57"/>
        <v>#N/A</v>
      </c>
      <c r="AC434" s="64" t="s">
        <v>131</v>
      </c>
      <c r="AD434" s="64">
        <v>740.9</v>
      </c>
      <c r="AH434" s="64" t="e">
        <f t="shared" si="58"/>
        <v>#N/A</v>
      </c>
      <c r="AS434" s="64" t="e">
        <f t="shared" si="59"/>
        <v>#N/A</v>
      </c>
    </row>
    <row r="435" spans="1:45" s="64" customFormat="1" ht="36" customHeight="1" x14ac:dyDescent="0.9">
      <c r="A435" s="64">
        <v>1</v>
      </c>
      <c r="B435" s="92">
        <f>SUBTOTAL(103,$A$16:A435)</f>
        <v>382</v>
      </c>
      <c r="C435" s="91" t="s">
        <v>1281</v>
      </c>
      <c r="D435" s="126">
        <v>1936</v>
      </c>
      <c r="E435" s="126"/>
      <c r="F435" s="145" t="s">
        <v>338</v>
      </c>
      <c r="G435" s="126">
        <v>2</v>
      </c>
      <c r="H435" s="126">
        <v>2</v>
      </c>
      <c r="I435" s="118">
        <v>602.79999999999995</v>
      </c>
      <c r="J435" s="118">
        <v>544</v>
      </c>
      <c r="K435" s="118">
        <v>544</v>
      </c>
      <c r="L435" s="127">
        <v>24</v>
      </c>
      <c r="M435" s="126" t="s">
        <v>271</v>
      </c>
      <c r="N435" s="126" t="s">
        <v>275</v>
      </c>
      <c r="O435" s="124" t="s">
        <v>278</v>
      </c>
      <c r="P435" s="118">
        <v>1316285.42</v>
      </c>
      <c r="Q435" s="118">
        <v>0</v>
      </c>
      <c r="R435" s="118">
        <v>0</v>
      </c>
      <c r="S435" s="118">
        <f>P435-Q435-R435</f>
        <v>1316285.42</v>
      </c>
      <c r="T435" s="118">
        <f t="shared" si="53"/>
        <v>2183.6188122096883</v>
      </c>
      <c r="U435" s="118">
        <f>Y435</f>
        <v>3932.8088918380895</v>
      </c>
      <c r="V435" s="183">
        <f t="shared" si="55"/>
        <v>1749.1900796284012</v>
      </c>
      <c r="W435" s="183"/>
      <c r="X435" s="183"/>
      <c r="Y435" s="64">
        <f t="shared" si="56"/>
        <v>3932.8088918380895</v>
      </c>
      <c r="AA435" s="64">
        <f t="shared" si="57"/>
        <v>454</v>
      </c>
      <c r="AC435" s="64" t="s">
        <v>180</v>
      </c>
      <c r="AD435" s="64">
        <v>650</v>
      </c>
      <c r="AH435" s="64" t="e">
        <f t="shared" si="58"/>
        <v>#N/A</v>
      </c>
      <c r="AS435" s="64" t="e">
        <f t="shared" si="59"/>
        <v>#N/A</v>
      </c>
    </row>
    <row r="436" spans="1:45" s="64" customFormat="1" ht="36" customHeight="1" x14ac:dyDescent="0.9">
      <c r="B436" s="91" t="s">
        <v>870</v>
      </c>
      <c r="C436" s="91"/>
      <c r="D436" s="126" t="s">
        <v>916</v>
      </c>
      <c r="E436" s="126" t="s">
        <v>916</v>
      </c>
      <c r="F436" s="126" t="s">
        <v>916</v>
      </c>
      <c r="G436" s="126" t="s">
        <v>916</v>
      </c>
      <c r="H436" s="126" t="s">
        <v>916</v>
      </c>
      <c r="I436" s="117">
        <f>I437+I438</f>
        <v>1488.6</v>
      </c>
      <c r="J436" s="117">
        <f>J437+J438</f>
        <v>1410.2</v>
      </c>
      <c r="K436" s="117">
        <f>K437+K438</f>
        <v>987.3</v>
      </c>
      <c r="L436" s="127">
        <f>L437+L438</f>
        <v>67</v>
      </c>
      <c r="M436" s="126" t="s">
        <v>916</v>
      </c>
      <c r="N436" s="126" t="s">
        <v>916</v>
      </c>
      <c r="O436" s="124" t="s">
        <v>916</v>
      </c>
      <c r="P436" s="117">
        <v>6025381.3300000001</v>
      </c>
      <c r="Q436" s="117">
        <f>Q437+Q438</f>
        <v>0</v>
      </c>
      <c r="R436" s="117">
        <f>R437+R438</f>
        <v>0</v>
      </c>
      <c r="S436" s="117">
        <f>S437+S438</f>
        <v>6025381.3300000001</v>
      </c>
      <c r="T436" s="118">
        <f t="shared" si="53"/>
        <v>4047.683279591563</v>
      </c>
      <c r="U436" s="118">
        <f>MAX(U437:U438)</f>
        <v>4805.136239379387</v>
      </c>
      <c r="V436" s="183">
        <f t="shared" si="55"/>
        <v>757.45295978782406</v>
      </c>
      <c r="W436" s="183"/>
      <c r="X436" s="183"/>
      <c r="Y436" s="64" t="e">
        <f t="shared" si="56"/>
        <v>#N/A</v>
      </c>
      <c r="AA436" s="64" t="e">
        <f t="shared" si="57"/>
        <v>#N/A</v>
      </c>
      <c r="AC436" s="64" t="s">
        <v>177</v>
      </c>
      <c r="AD436" s="64">
        <v>816</v>
      </c>
      <c r="AH436" s="64" t="e">
        <f t="shared" si="58"/>
        <v>#N/A</v>
      </c>
      <c r="AS436" s="64" t="e">
        <f t="shared" si="59"/>
        <v>#N/A</v>
      </c>
    </row>
    <row r="437" spans="1:45" s="64" customFormat="1" ht="36" customHeight="1" x14ac:dyDescent="0.9">
      <c r="A437" s="64">
        <v>1</v>
      </c>
      <c r="B437" s="92">
        <f>SUBTOTAL(103,$A$16:A437)</f>
        <v>383</v>
      </c>
      <c r="C437" s="91" t="s">
        <v>42</v>
      </c>
      <c r="D437" s="126">
        <v>1960</v>
      </c>
      <c r="E437" s="126"/>
      <c r="F437" s="145" t="s">
        <v>273</v>
      </c>
      <c r="G437" s="126">
        <v>2</v>
      </c>
      <c r="H437" s="126">
        <v>2</v>
      </c>
      <c r="I437" s="118">
        <v>676.5</v>
      </c>
      <c r="J437" s="118">
        <v>628.1</v>
      </c>
      <c r="K437" s="118">
        <v>542.1</v>
      </c>
      <c r="L437" s="127">
        <v>32</v>
      </c>
      <c r="M437" s="126" t="s">
        <v>271</v>
      </c>
      <c r="N437" s="126" t="s">
        <v>275</v>
      </c>
      <c r="O437" s="124" t="s">
        <v>279</v>
      </c>
      <c r="P437" s="118">
        <v>2857792.39</v>
      </c>
      <c r="Q437" s="118">
        <v>0</v>
      </c>
      <c r="R437" s="118">
        <v>0</v>
      </c>
      <c r="S437" s="118">
        <f>P437-Q437-R437</f>
        <v>2857792.39</v>
      </c>
      <c r="T437" s="118">
        <f t="shared" si="53"/>
        <v>4224.378994826312</v>
      </c>
      <c r="U437" s="118">
        <f>Y437</f>
        <v>4592.7139689578717</v>
      </c>
      <c r="V437" s="183">
        <f t="shared" si="55"/>
        <v>368.33497413155965</v>
      </c>
      <c r="W437" s="183"/>
      <c r="X437" s="183"/>
      <c r="Y437" s="64">
        <f t="shared" si="56"/>
        <v>4592.7139689578717</v>
      </c>
      <c r="AA437" s="64">
        <f t="shared" si="57"/>
        <v>595</v>
      </c>
      <c r="AC437" s="64" t="s">
        <v>176</v>
      </c>
      <c r="AD437" s="64">
        <v>368.9</v>
      </c>
      <c r="AH437" s="64" t="e">
        <f t="shared" si="58"/>
        <v>#N/A</v>
      </c>
      <c r="AS437" s="64" t="e">
        <f t="shared" si="59"/>
        <v>#N/A</v>
      </c>
    </row>
    <row r="438" spans="1:45" s="64" customFormat="1" ht="36" customHeight="1" x14ac:dyDescent="0.9">
      <c r="A438" s="64">
        <v>1</v>
      </c>
      <c r="B438" s="92">
        <f>SUBTOTAL(103,$A$16:A438)</f>
        <v>384</v>
      </c>
      <c r="C438" s="91" t="s">
        <v>1604</v>
      </c>
      <c r="D438" s="126">
        <v>1957</v>
      </c>
      <c r="E438" s="126"/>
      <c r="F438" s="145" t="s">
        <v>273</v>
      </c>
      <c r="G438" s="126">
        <v>2</v>
      </c>
      <c r="H438" s="126">
        <v>2</v>
      </c>
      <c r="I438" s="118">
        <v>812.1</v>
      </c>
      <c r="J438" s="118">
        <v>782.1</v>
      </c>
      <c r="K438" s="118">
        <v>445.2</v>
      </c>
      <c r="L438" s="127">
        <v>35</v>
      </c>
      <c r="M438" s="126" t="s">
        <v>271</v>
      </c>
      <c r="N438" s="126" t="s">
        <v>275</v>
      </c>
      <c r="O438" s="124" t="s">
        <v>279</v>
      </c>
      <c r="P438" s="118">
        <v>3167588.94</v>
      </c>
      <c r="Q438" s="118">
        <v>0</v>
      </c>
      <c r="R438" s="118">
        <v>0</v>
      </c>
      <c r="S438" s="118">
        <f>P438-R438-Q438</f>
        <v>3167588.94</v>
      </c>
      <c r="T438" s="118">
        <f t="shared" si="53"/>
        <v>3900.4912449205763</v>
      </c>
      <c r="U438" s="118">
        <f>Y438</f>
        <v>4805.136239379387</v>
      </c>
      <c r="V438" s="183">
        <f t="shared" si="55"/>
        <v>904.64499445881074</v>
      </c>
      <c r="W438" s="183"/>
      <c r="X438" s="183"/>
      <c r="Y438" s="64">
        <f t="shared" si="56"/>
        <v>4805.136239379387</v>
      </c>
      <c r="AA438" s="64">
        <f t="shared" si="57"/>
        <v>747.3</v>
      </c>
      <c r="AC438" s="64" t="s">
        <v>79</v>
      </c>
      <c r="AD438" s="64">
        <v>510</v>
      </c>
      <c r="AH438" s="64" t="e">
        <f t="shared" si="58"/>
        <v>#N/A</v>
      </c>
      <c r="AS438" s="64" t="e">
        <f t="shared" si="59"/>
        <v>#N/A</v>
      </c>
    </row>
    <row r="439" spans="1:45" s="64" customFormat="1" ht="36" customHeight="1" x14ac:dyDescent="0.9">
      <c r="B439" s="91" t="s">
        <v>871</v>
      </c>
      <c r="C439" s="91"/>
      <c r="D439" s="126" t="s">
        <v>916</v>
      </c>
      <c r="E439" s="126" t="s">
        <v>916</v>
      </c>
      <c r="F439" s="126" t="s">
        <v>916</v>
      </c>
      <c r="G439" s="126" t="s">
        <v>916</v>
      </c>
      <c r="H439" s="126" t="s">
        <v>916</v>
      </c>
      <c r="I439" s="117">
        <f>SUM(I440:I448)</f>
        <v>14074.8</v>
      </c>
      <c r="J439" s="117">
        <f>SUM(J440:J448)</f>
        <v>12404.339999999998</v>
      </c>
      <c r="K439" s="117">
        <f>SUM(K440:K448)</f>
        <v>11986.91</v>
      </c>
      <c r="L439" s="127">
        <f>SUM(L440:L448)</f>
        <v>602</v>
      </c>
      <c r="M439" s="126" t="s">
        <v>916</v>
      </c>
      <c r="N439" s="126" t="s">
        <v>916</v>
      </c>
      <c r="O439" s="124" t="s">
        <v>916</v>
      </c>
      <c r="P439" s="118">
        <v>29961094.709999993</v>
      </c>
      <c r="Q439" s="118">
        <f>SUM(Q440:Q448)</f>
        <v>0</v>
      </c>
      <c r="R439" s="118">
        <f>SUM(R440:R448)</f>
        <v>0</v>
      </c>
      <c r="S439" s="118">
        <f>SUM(S440:S448)</f>
        <v>29961094.709999993</v>
      </c>
      <c r="T439" s="118">
        <f t="shared" si="53"/>
        <v>2128.7048277773038</v>
      </c>
      <c r="U439" s="118">
        <f>MAX(U440:U448)</f>
        <v>6260.2086763701336</v>
      </c>
      <c r="V439" s="183">
        <f t="shared" si="55"/>
        <v>4131.5038485928299</v>
      </c>
      <c r="W439" s="183"/>
      <c r="X439" s="183"/>
      <c r="Y439" s="64" t="e">
        <f t="shared" si="56"/>
        <v>#N/A</v>
      </c>
      <c r="AA439" s="64" t="e">
        <f t="shared" si="57"/>
        <v>#N/A</v>
      </c>
      <c r="AC439" s="64" t="s">
        <v>80</v>
      </c>
      <c r="AD439" s="64">
        <v>430</v>
      </c>
      <c r="AH439" s="64" t="e">
        <f t="shared" si="58"/>
        <v>#N/A</v>
      </c>
      <c r="AS439" s="64" t="e">
        <f t="shared" si="59"/>
        <v>#N/A</v>
      </c>
    </row>
    <row r="440" spans="1:45" s="64" customFormat="1" ht="36" customHeight="1" x14ac:dyDescent="0.9">
      <c r="A440" s="64">
        <v>1</v>
      </c>
      <c r="B440" s="92">
        <f>SUBTOTAL(103,$A$16:A440)</f>
        <v>385</v>
      </c>
      <c r="C440" s="91" t="s">
        <v>50</v>
      </c>
      <c r="D440" s="126">
        <v>1941</v>
      </c>
      <c r="E440" s="126"/>
      <c r="F440" s="145" t="s">
        <v>273</v>
      </c>
      <c r="G440" s="126">
        <v>3</v>
      </c>
      <c r="H440" s="126">
        <v>3</v>
      </c>
      <c r="I440" s="118">
        <v>1207.5</v>
      </c>
      <c r="J440" s="118">
        <v>1028.42</v>
      </c>
      <c r="K440" s="118">
        <v>1028.42</v>
      </c>
      <c r="L440" s="127">
        <v>51</v>
      </c>
      <c r="M440" s="126" t="s">
        <v>271</v>
      </c>
      <c r="N440" s="126" t="s">
        <v>272</v>
      </c>
      <c r="O440" s="124" t="s">
        <v>274</v>
      </c>
      <c r="P440" s="118">
        <v>4525933.4200000009</v>
      </c>
      <c r="Q440" s="118">
        <v>0</v>
      </c>
      <c r="R440" s="118">
        <v>0</v>
      </c>
      <c r="S440" s="118">
        <f t="shared" ref="S440:S448" si="61">P440-Q440-R440</f>
        <v>4525933.4200000009</v>
      </c>
      <c r="T440" s="118">
        <f t="shared" si="53"/>
        <v>3748.1850269151146</v>
      </c>
      <c r="U440" s="118">
        <f t="shared" ref="U440:U445" si="62">Y440</f>
        <v>3750.6146086956519</v>
      </c>
      <c r="V440" s="183">
        <f t="shared" si="55"/>
        <v>2.429581780537319</v>
      </c>
      <c r="W440" s="183"/>
      <c r="X440" s="183"/>
      <c r="Y440" s="64">
        <f t="shared" si="56"/>
        <v>3750.6146086956519</v>
      </c>
      <c r="AA440" s="64">
        <f t="shared" si="57"/>
        <v>867.3</v>
      </c>
      <c r="AC440" s="64" t="s">
        <v>81</v>
      </c>
      <c r="AD440" s="64">
        <v>430</v>
      </c>
      <c r="AH440" s="64" t="e">
        <f t="shared" si="58"/>
        <v>#N/A</v>
      </c>
      <c r="AS440" s="64" t="e">
        <f t="shared" si="59"/>
        <v>#N/A</v>
      </c>
    </row>
    <row r="441" spans="1:45" s="64" customFormat="1" ht="36" customHeight="1" x14ac:dyDescent="0.9">
      <c r="A441" s="64">
        <v>1</v>
      </c>
      <c r="B441" s="92">
        <f>SUBTOTAL(103,$A$16:A441)</f>
        <v>386</v>
      </c>
      <c r="C441" s="91" t="s">
        <v>48</v>
      </c>
      <c r="D441" s="126">
        <v>1972</v>
      </c>
      <c r="E441" s="126"/>
      <c r="F441" s="145" t="s">
        <v>273</v>
      </c>
      <c r="G441" s="126">
        <v>2</v>
      </c>
      <c r="H441" s="126">
        <v>2</v>
      </c>
      <c r="I441" s="118">
        <v>729.8</v>
      </c>
      <c r="J441" s="118">
        <v>670.43999999999994</v>
      </c>
      <c r="K441" s="118">
        <v>670.44</v>
      </c>
      <c r="L441" s="127">
        <v>29</v>
      </c>
      <c r="M441" s="126" t="s">
        <v>271</v>
      </c>
      <c r="N441" s="126" t="s">
        <v>272</v>
      </c>
      <c r="O441" s="124" t="s">
        <v>274</v>
      </c>
      <c r="P441" s="118">
        <v>3351574.4499999997</v>
      </c>
      <c r="Q441" s="118">
        <v>0</v>
      </c>
      <c r="R441" s="118">
        <v>0</v>
      </c>
      <c r="S441" s="118">
        <f t="shared" si="61"/>
        <v>3351574.4499999997</v>
      </c>
      <c r="T441" s="118">
        <f t="shared" si="53"/>
        <v>4592.4560838585912</v>
      </c>
      <c r="U441" s="118">
        <f t="shared" si="62"/>
        <v>4670.1409427240351</v>
      </c>
      <c r="V441" s="183">
        <f t="shared" si="55"/>
        <v>77.684858865443857</v>
      </c>
      <c r="W441" s="183"/>
      <c r="X441" s="183"/>
      <c r="Y441" s="64">
        <f t="shared" si="56"/>
        <v>4670.1409427240351</v>
      </c>
      <c r="AA441" s="64">
        <f t="shared" si="57"/>
        <v>652.70000000000005</v>
      </c>
      <c r="AC441" s="64" t="s">
        <v>78</v>
      </c>
      <c r="AD441" s="64">
        <v>385</v>
      </c>
      <c r="AH441" s="64" t="e">
        <f t="shared" si="58"/>
        <v>#N/A</v>
      </c>
      <c r="AS441" s="64" t="e">
        <f t="shared" si="59"/>
        <v>#N/A</v>
      </c>
    </row>
    <row r="442" spans="1:45" s="64" customFormat="1" ht="36" customHeight="1" x14ac:dyDescent="0.9">
      <c r="A442" s="64">
        <v>1</v>
      </c>
      <c r="B442" s="92">
        <f>SUBTOTAL(103,$A$16:A442)</f>
        <v>387</v>
      </c>
      <c r="C442" s="91" t="s">
        <v>49</v>
      </c>
      <c r="D442" s="126">
        <v>1962</v>
      </c>
      <c r="E442" s="126"/>
      <c r="F442" s="145" t="s">
        <v>273</v>
      </c>
      <c r="G442" s="126">
        <v>4</v>
      </c>
      <c r="H442" s="126">
        <v>3</v>
      </c>
      <c r="I442" s="118">
        <v>1905.34</v>
      </c>
      <c r="J442" s="118">
        <v>1830.34</v>
      </c>
      <c r="K442" s="118">
        <v>1708.94</v>
      </c>
      <c r="L442" s="127">
        <v>104</v>
      </c>
      <c r="M442" s="126" t="s">
        <v>271</v>
      </c>
      <c r="N442" s="126" t="s">
        <v>272</v>
      </c>
      <c r="O442" s="124" t="s">
        <v>274</v>
      </c>
      <c r="P442" s="118">
        <v>4680435.38</v>
      </c>
      <c r="Q442" s="118">
        <v>0</v>
      </c>
      <c r="R442" s="118">
        <v>0</v>
      </c>
      <c r="S442" s="118">
        <f t="shared" si="61"/>
        <v>4680435.38</v>
      </c>
      <c r="T442" s="118">
        <f t="shared" si="53"/>
        <v>2456.4830318998183</v>
      </c>
      <c r="U442" s="118">
        <f t="shared" si="62"/>
        <v>2458.0560005038474</v>
      </c>
      <c r="V442" s="183">
        <f t="shared" si="55"/>
        <v>1.5729686040290289</v>
      </c>
      <c r="W442" s="183"/>
      <c r="X442" s="183"/>
      <c r="Y442" s="64">
        <f t="shared" si="56"/>
        <v>2458.0560005038474</v>
      </c>
      <c r="AA442" s="64">
        <f t="shared" si="57"/>
        <v>896.9</v>
      </c>
      <c r="AC442" s="64" t="s">
        <v>82</v>
      </c>
      <c r="AD442" s="64">
        <v>307</v>
      </c>
      <c r="AH442" s="64" t="e">
        <f t="shared" si="58"/>
        <v>#N/A</v>
      </c>
      <c r="AS442" s="64" t="e">
        <f t="shared" si="59"/>
        <v>#N/A</v>
      </c>
    </row>
    <row r="443" spans="1:45" s="64" customFormat="1" ht="36" customHeight="1" x14ac:dyDescent="0.9">
      <c r="A443" s="64">
        <v>1</v>
      </c>
      <c r="B443" s="92">
        <f>SUBTOTAL(103,$A$16:A443)</f>
        <v>388</v>
      </c>
      <c r="C443" s="91" t="s">
        <v>51</v>
      </c>
      <c r="D443" s="126">
        <v>1971</v>
      </c>
      <c r="E443" s="126"/>
      <c r="F443" s="145" t="s">
        <v>273</v>
      </c>
      <c r="G443" s="126">
        <v>2</v>
      </c>
      <c r="H443" s="126">
        <v>2</v>
      </c>
      <c r="I443" s="118">
        <v>758.5</v>
      </c>
      <c r="J443" s="118">
        <v>696.38</v>
      </c>
      <c r="K443" s="118">
        <v>644.48</v>
      </c>
      <c r="L443" s="127">
        <v>22</v>
      </c>
      <c r="M443" s="126" t="s">
        <v>271</v>
      </c>
      <c r="N443" s="126" t="s">
        <v>272</v>
      </c>
      <c r="O443" s="124" t="s">
        <v>274</v>
      </c>
      <c r="P443" s="118">
        <v>3500816.5599999996</v>
      </c>
      <c r="Q443" s="118">
        <v>0</v>
      </c>
      <c r="R443" s="118">
        <v>0</v>
      </c>
      <c r="S443" s="118">
        <f t="shared" si="61"/>
        <v>3500816.5599999996</v>
      </c>
      <c r="T443" s="118">
        <f t="shared" si="53"/>
        <v>4615.4470138431107</v>
      </c>
      <c r="U443" s="118">
        <f t="shared" si="62"/>
        <v>4688.2607778510219</v>
      </c>
      <c r="V443" s="183">
        <f t="shared" si="55"/>
        <v>72.813764007911232</v>
      </c>
      <c r="W443" s="183"/>
      <c r="X443" s="183"/>
      <c r="Y443" s="64">
        <f t="shared" si="56"/>
        <v>4688.2607778510219</v>
      </c>
      <c r="AA443" s="64">
        <f t="shared" si="57"/>
        <v>681</v>
      </c>
      <c r="AC443" s="64" t="s">
        <v>83</v>
      </c>
      <c r="AD443" s="64">
        <v>160</v>
      </c>
      <c r="AH443" s="64" t="e">
        <f t="shared" si="58"/>
        <v>#N/A</v>
      </c>
      <c r="AS443" s="64" t="e">
        <f t="shared" si="59"/>
        <v>#N/A</v>
      </c>
    </row>
    <row r="444" spans="1:45" s="64" customFormat="1" ht="36" customHeight="1" x14ac:dyDescent="0.9">
      <c r="A444" s="64">
        <v>1</v>
      </c>
      <c r="B444" s="92">
        <f>SUBTOTAL(103,$A$16:A444)</f>
        <v>389</v>
      </c>
      <c r="C444" s="91" t="s">
        <v>1275</v>
      </c>
      <c r="D444" s="126">
        <v>1978</v>
      </c>
      <c r="E444" s="126"/>
      <c r="F444" s="145" t="s">
        <v>273</v>
      </c>
      <c r="G444" s="126">
        <v>3</v>
      </c>
      <c r="H444" s="126">
        <v>3</v>
      </c>
      <c r="I444" s="118">
        <v>1326.37</v>
      </c>
      <c r="J444" s="118">
        <v>1191.9699999999998</v>
      </c>
      <c r="K444" s="118">
        <v>1191.97</v>
      </c>
      <c r="L444" s="127">
        <v>55</v>
      </c>
      <c r="M444" s="126" t="s">
        <v>271</v>
      </c>
      <c r="N444" s="126" t="s">
        <v>272</v>
      </c>
      <c r="O444" s="124" t="s">
        <v>274</v>
      </c>
      <c r="P444" s="118">
        <v>3146286.42</v>
      </c>
      <c r="Q444" s="118">
        <v>0</v>
      </c>
      <c r="R444" s="118">
        <v>0</v>
      </c>
      <c r="S444" s="118">
        <f t="shared" si="61"/>
        <v>3146286.42</v>
      </c>
      <c r="T444" s="118">
        <f t="shared" ref="T444:T508" si="63">P444/I444</f>
        <v>2372.103123562807</v>
      </c>
      <c r="U444" s="118">
        <f t="shared" si="62"/>
        <v>2671.1937845397592</v>
      </c>
      <c r="V444" s="183">
        <f t="shared" si="55"/>
        <v>299.09066097695222</v>
      </c>
      <c r="W444" s="183"/>
      <c r="X444" s="183"/>
      <c r="Y444" s="64">
        <f t="shared" si="56"/>
        <v>2671.1937845397592</v>
      </c>
      <c r="AA444" s="64">
        <f t="shared" si="57"/>
        <v>678.5</v>
      </c>
      <c r="AC444" s="64" t="s">
        <v>84</v>
      </c>
      <c r="AD444" s="64">
        <v>399.43</v>
      </c>
      <c r="AH444" s="64" t="e">
        <f t="shared" si="58"/>
        <v>#N/A</v>
      </c>
      <c r="AS444" s="64" t="e">
        <f t="shared" si="59"/>
        <v>#N/A</v>
      </c>
    </row>
    <row r="445" spans="1:45" s="64" customFormat="1" ht="36" customHeight="1" x14ac:dyDescent="0.9">
      <c r="A445" s="64">
        <v>1</v>
      </c>
      <c r="B445" s="92">
        <f>SUBTOTAL(103,$A$16:A445)</f>
        <v>390</v>
      </c>
      <c r="C445" s="91" t="s">
        <v>1276</v>
      </c>
      <c r="D445" s="126">
        <v>1983</v>
      </c>
      <c r="E445" s="126"/>
      <c r="F445" s="145" t="s">
        <v>273</v>
      </c>
      <c r="G445" s="126">
        <v>5</v>
      </c>
      <c r="H445" s="126">
        <v>6</v>
      </c>
      <c r="I445" s="118">
        <v>4088.44</v>
      </c>
      <c r="J445" s="118">
        <v>3644.94</v>
      </c>
      <c r="K445" s="118">
        <v>3612.34</v>
      </c>
      <c r="L445" s="127">
        <v>151</v>
      </c>
      <c r="M445" s="126" t="s">
        <v>271</v>
      </c>
      <c r="N445" s="126" t="s">
        <v>275</v>
      </c>
      <c r="O445" s="124" t="s">
        <v>1334</v>
      </c>
      <c r="P445" s="118">
        <v>3254584.31</v>
      </c>
      <c r="Q445" s="118">
        <v>0</v>
      </c>
      <c r="R445" s="118">
        <v>0</v>
      </c>
      <c r="S445" s="118">
        <f t="shared" si="61"/>
        <v>3254584.31</v>
      </c>
      <c r="T445" s="118">
        <f t="shared" si="63"/>
        <v>796.04551124634338</v>
      </c>
      <c r="U445" s="118">
        <f t="shared" si="62"/>
        <v>1633.2972576337183</v>
      </c>
      <c r="V445" s="183">
        <f t="shared" si="55"/>
        <v>837.25174638737496</v>
      </c>
      <c r="W445" s="183"/>
      <c r="X445" s="183"/>
      <c r="Y445" s="64">
        <f t="shared" si="56"/>
        <v>1633.2972576337183</v>
      </c>
      <c r="AA445" s="64">
        <f t="shared" si="57"/>
        <v>1278.8</v>
      </c>
      <c r="AC445" s="64" t="s">
        <v>107</v>
      </c>
      <c r="AD445" s="64">
        <v>571</v>
      </c>
      <c r="AH445" s="64" t="e">
        <f t="shared" si="58"/>
        <v>#N/A</v>
      </c>
      <c r="AS445" s="64" t="e">
        <f t="shared" si="59"/>
        <v>#N/A</v>
      </c>
    </row>
    <row r="446" spans="1:45" s="64" customFormat="1" ht="36" customHeight="1" x14ac:dyDescent="0.9">
      <c r="A446" s="64">
        <v>1</v>
      </c>
      <c r="B446" s="92">
        <f>SUBTOTAL(103,$A$16:A446)</f>
        <v>391</v>
      </c>
      <c r="C446" s="91" t="s">
        <v>1277</v>
      </c>
      <c r="D446" s="126">
        <v>1974</v>
      </c>
      <c r="E446" s="126"/>
      <c r="F446" s="145" t="s">
        <v>319</v>
      </c>
      <c r="G446" s="126">
        <v>5</v>
      </c>
      <c r="H446" s="126">
        <v>5</v>
      </c>
      <c r="I446" s="118">
        <v>3399.85</v>
      </c>
      <c r="J446" s="118">
        <v>2854.6499999999996</v>
      </c>
      <c r="K446" s="118">
        <v>2776.82</v>
      </c>
      <c r="L446" s="127">
        <v>163</v>
      </c>
      <c r="M446" s="126" t="s">
        <v>271</v>
      </c>
      <c r="N446" s="126" t="s">
        <v>275</v>
      </c>
      <c r="O446" s="124" t="s">
        <v>1334</v>
      </c>
      <c r="P446" s="118">
        <v>4373146.29</v>
      </c>
      <c r="Q446" s="118">
        <v>0</v>
      </c>
      <c r="R446" s="118">
        <v>0</v>
      </c>
      <c r="S446" s="118">
        <f t="shared" si="61"/>
        <v>4373146.29</v>
      </c>
      <c r="T446" s="118">
        <f t="shared" si="63"/>
        <v>1286.2762445402004</v>
      </c>
      <c r="U446" s="118">
        <f>AG446</f>
        <v>6260.2086763701336</v>
      </c>
      <c r="V446" s="183">
        <f t="shared" si="55"/>
        <v>4973.9324318299332</v>
      </c>
      <c r="W446" s="183"/>
      <c r="X446" s="183"/>
      <c r="Y446" s="64" t="e">
        <f t="shared" si="56"/>
        <v>#N/A</v>
      </c>
      <c r="AA446" s="64" t="e">
        <f t="shared" si="57"/>
        <v>#N/A</v>
      </c>
      <c r="AC446" s="64" t="s">
        <v>113</v>
      </c>
      <c r="AD446" s="64">
        <v>821.6</v>
      </c>
      <c r="AG446" s="64">
        <f>AH446*6191.24/J446</f>
        <v>6260.2086763701336</v>
      </c>
      <c r="AH446" s="64">
        <f t="shared" si="58"/>
        <v>2886.45</v>
      </c>
      <c r="AS446" s="64" t="e">
        <f t="shared" si="59"/>
        <v>#N/A</v>
      </c>
    </row>
    <row r="447" spans="1:45" s="64" customFormat="1" ht="36" customHeight="1" x14ac:dyDescent="0.9">
      <c r="A447" s="64">
        <v>1</v>
      </c>
      <c r="B447" s="92">
        <f>SUBTOTAL(103,$A$16:A447)</f>
        <v>392</v>
      </c>
      <c r="C447" s="91" t="s">
        <v>1278</v>
      </c>
      <c r="D447" s="126">
        <v>1959</v>
      </c>
      <c r="E447" s="126"/>
      <c r="F447" s="145" t="s">
        <v>273</v>
      </c>
      <c r="G447" s="126">
        <v>1</v>
      </c>
      <c r="H447" s="126">
        <v>1</v>
      </c>
      <c r="I447" s="118">
        <v>264.3</v>
      </c>
      <c r="J447" s="118">
        <v>252.9</v>
      </c>
      <c r="K447" s="118">
        <v>119.20000000000002</v>
      </c>
      <c r="L447" s="127">
        <v>15</v>
      </c>
      <c r="M447" s="126" t="s">
        <v>271</v>
      </c>
      <c r="N447" s="126" t="s">
        <v>272</v>
      </c>
      <c r="O447" s="124" t="s">
        <v>274</v>
      </c>
      <c r="P447" s="118">
        <v>1452832.41</v>
      </c>
      <c r="Q447" s="118">
        <v>0</v>
      </c>
      <c r="R447" s="118">
        <v>0</v>
      </c>
      <c r="S447" s="118">
        <f t="shared" si="61"/>
        <v>1452832.41</v>
      </c>
      <c r="T447" s="118">
        <f t="shared" si="63"/>
        <v>5496.9065834279227</v>
      </c>
      <c r="U447" s="118">
        <f>T447</f>
        <v>5496.9065834279227</v>
      </c>
      <c r="V447" s="183">
        <f t="shared" si="55"/>
        <v>0</v>
      </c>
      <c r="W447" s="183"/>
      <c r="X447" s="183"/>
      <c r="Y447" s="64">
        <f t="shared" si="56"/>
        <v>4446.1364812712827</v>
      </c>
      <c r="AA447" s="64">
        <f t="shared" si="57"/>
        <v>225.04</v>
      </c>
      <c r="AC447" s="64" t="s">
        <v>112</v>
      </c>
      <c r="AD447" s="64">
        <v>556</v>
      </c>
      <c r="AH447" s="64" t="e">
        <f t="shared" si="58"/>
        <v>#N/A</v>
      </c>
      <c r="AS447" s="64" t="e">
        <f t="shared" si="59"/>
        <v>#N/A</v>
      </c>
    </row>
    <row r="448" spans="1:45" s="64" customFormat="1" ht="36" customHeight="1" x14ac:dyDescent="0.9">
      <c r="A448" s="64">
        <v>1</v>
      </c>
      <c r="B448" s="92">
        <f>SUBTOTAL(103,$A$16:A448)</f>
        <v>393</v>
      </c>
      <c r="C448" s="91" t="s">
        <v>1279</v>
      </c>
      <c r="D448" s="126">
        <v>19557</v>
      </c>
      <c r="E448" s="126"/>
      <c r="F448" s="145" t="s">
        <v>338</v>
      </c>
      <c r="G448" s="126">
        <v>2</v>
      </c>
      <c r="H448" s="126">
        <v>2</v>
      </c>
      <c r="I448" s="118">
        <v>394.7</v>
      </c>
      <c r="J448" s="118">
        <v>234.3</v>
      </c>
      <c r="K448" s="118">
        <v>234.3</v>
      </c>
      <c r="L448" s="127">
        <v>12</v>
      </c>
      <c r="M448" s="126" t="s">
        <v>271</v>
      </c>
      <c r="N448" s="126" t="s">
        <v>272</v>
      </c>
      <c r="O448" s="124" t="s">
        <v>274</v>
      </c>
      <c r="P448" s="118">
        <v>1675485.4700000002</v>
      </c>
      <c r="Q448" s="118">
        <v>0</v>
      </c>
      <c r="R448" s="118">
        <v>0</v>
      </c>
      <c r="S448" s="118">
        <f t="shared" si="61"/>
        <v>1675485.4700000002</v>
      </c>
      <c r="T448" s="118">
        <f t="shared" si="63"/>
        <v>4244.9593868761094</v>
      </c>
      <c r="U448" s="118">
        <f>Y448</f>
        <v>4458.4408411451741</v>
      </c>
      <c r="V448" s="183">
        <f t="shared" si="55"/>
        <v>213.48145426906467</v>
      </c>
      <c r="W448" s="183"/>
      <c r="X448" s="183"/>
      <c r="Y448" s="64">
        <f t="shared" si="56"/>
        <v>4458.4408411451741</v>
      </c>
      <c r="AA448" s="64">
        <f t="shared" si="57"/>
        <v>337</v>
      </c>
      <c r="AC448" s="64" t="s">
        <v>57</v>
      </c>
      <c r="AD448" s="64">
        <v>794.3</v>
      </c>
      <c r="AH448" s="64" t="e">
        <f t="shared" si="58"/>
        <v>#N/A</v>
      </c>
      <c r="AS448" s="64" t="e">
        <f t="shared" si="59"/>
        <v>#N/A</v>
      </c>
    </row>
    <row r="449" spans="1:45" s="64" customFormat="1" ht="36" customHeight="1" x14ac:dyDescent="0.9">
      <c r="B449" s="91" t="s">
        <v>901</v>
      </c>
      <c r="C449" s="172"/>
      <c r="D449" s="126" t="s">
        <v>916</v>
      </c>
      <c r="E449" s="126" t="s">
        <v>916</v>
      </c>
      <c r="F449" s="126" t="s">
        <v>916</v>
      </c>
      <c r="G449" s="126" t="s">
        <v>916</v>
      </c>
      <c r="H449" s="126" t="s">
        <v>916</v>
      </c>
      <c r="I449" s="117">
        <f>I450</f>
        <v>609.5</v>
      </c>
      <c r="J449" s="117">
        <f>J450</f>
        <v>564.4</v>
      </c>
      <c r="K449" s="117">
        <f>K450</f>
        <v>202</v>
      </c>
      <c r="L449" s="127">
        <f>L450</f>
        <v>16</v>
      </c>
      <c r="M449" s="126" t="s">
        <v>916</v>
      </c>
      <c r="N449" s="126" t="s">
        <v>916</v>
      </c>
      <c r="O449" s="124" t="s">
        <v>916</v>
      </c>
      <c r="P449" s="118">
        <v>2521615.3599999999</v>
      </c>
      <c r="Q449" s="118">
        <f>Q450</f>
        <v>0</v>
      </c>
      <c r="R449" s="118">
        <f>R450</f>
        <v>492144.32</v>
      </c>
      <c r="S449" s="118">
        <f>S450</f>
        <v>2029471.0399999998</v>
      </c>
      <c r="T449" s="118">
        <f t="shared" si="63"/>
        <v>4137.1868088597212</v>
      </c>
      <c r="U449" s="118">
        <f>U450</f>
        <v>4384.7698769483186</v>
      </c>
      <c r="V449" s="183">
        <f t="shared" si="55"/>
        <v>247.58306808859743</v>
      </c>
      <c r="W449" s="183"/>
      <c r="X449" s="183"/>
      <c r="Y449" s="64" t="e">
        <f t="shared" si="56"/>
        <v>#N/A</v>
      </c>
      <c r="AA449" s="64" t="e">
        <f t="shared" si="57"/>
        <v>#N/A</v>
      </c>
      <c r="AC449" s="64" t="s">
        <v>41</v>
      </c>
      <c r="AD449" s="64">
        <v>1576</v>
      </c>
      <c r="AH449" s="64" t="e">
        <f t="shared" si="58"/>
        <v>#N/A</v>
      </c>
      <c r="AS449" s="64" t="e">
        <f t="shared" si="59"/>
        <v>#N/A</v>
      </c>
    </row>
    <row r="450" spans="1:45" s="64" customFormat="1" ht="36" customHeight="1" x14ac:dyDescent="0.9">
      <c r="A450" s="64">
        <v>1</v>
      </c>
      <c r="B450" s="92">
        <f>SUBTOTAL(103,$A$16:A450)</f>
        <v>394</v>
      </c>
      <c r="C450" s="91" t="s">
        <v>1283</v>
      </c>
      <c r="D450" s="126">
        <v>1917</v>
      </c>
      <c r="E450" s="126"/>
      <c r="F450" s="145" t="s">
        <v>273</v>
      </c>
      <c r="G450" s="126">
        <v>2</v>
      </c>
      <c r="H450" s="126">
        <v>1</v>
      </c>
      <c r="I450" s="118">
        <v>609.5</v>
      </c>
      <c r="J450" s="118">
        <v>564.4</v>
      </c>
      <c r="K450" s="118">
        <v>202</v>
      </c>
      <c r="L450" s="127">
        <v>16</v>
      </c>
      <c r="M450" s="126" t="s">
        <v>271</v>
      </c>
      <c r="N450" s="126" t="s">
        <v>272</v>
      </c>
      <c r="O450" s="124" t="s">
        <v>274</v>
      </c>
      <c r="P450" s="118">
        <v>2521615.3599999999</v>
      </c>
      <c r="Q450" s="118">
        <v>0</v>
      </c>
      <c r="R450" s="118">
        <v>492144.32</v>
      </c>
      <c r="S450" s="118">
        <f>P450-Q450-R450</f>
        <v>2029471.0399999998</v>
      </c>
      <c r="T450" s="118">
        <f t="shared" si="63"/>
        <v>4137.1868088597212</v>
      </c>
      <c r="U450" s="118">
        <f>Y450</f>
        <v>4384.7698769483186</v>
      </c>
      <c r="V450" s="183">
        <f t="shared" si="55"/>
        <v>247.58306808859743</v>
      </c>
      <c r="W450" s="183"/>
      <c r="X450" s="183"/>
      <c r="Y450" s="64">
        <f t="shared" si="56"/>
        <v>4384.7698769483186</v>
      </c>
      <c r="AA450" s="64">
        <f t="shared" si="57"/>
        <v>511.8</v>
      </c>
      <c r="AC450" s="64" t="s">
        <v>55</v>
      </c>
      <c r="AD450" s="64">
        <v>609.79999999999995</v>
      </c>
      <c r="AH450" s="64" t="e">
        <f t="shared" si="58"/>
        <v>#N/A</v>
      </c>
      <c r="AS450" s="64" t="e">
        <f t="shared" si="59"/>
        <v>#N/A</v>
      </c>
    </row>
    <row r="451" spans="1:45" s="64" customFormat="1" ht="36" customHeight="1" x14ac:dyDescent="0.9">
      <c r="B451" s="91" t="s">
        <v>909</v>
      </c>
      <c r="C451" s="91"/>
      <c r="D451" s="126" t="s">
        <v>916</v>
      </c>
      <c r="E451" s="126" t="s">
        <v>916</v>
      </c>
      <c r="F451" s="126" t="s">
        <v>916</v>
      </c>
      <c r="G451" s="126" t="s">
        <v>916</v>
      </c>
      <c r="H451" s="126" t="s">
        <v>916</v>
      </c>
      <c r="I451" s="118">
        <f>I452</f>
        <v>878.6</v>
      </c>
      <c r="J451" s="118">
        <f>J452</f>
        <v>516.76</v>
      </c>
      <c r="K451" s="118">
        <f>K452</f>
        <v>465.9</v>
      </c>
      <c r="L451" s="128">
        <f>L452</f>
        <v>65</v>
      </c>
      <c r="M451" s="126" t="s">
        <v>916</v>
      </c>
      <c r="N451" s="126" t="s">
        <v>916</v>
      </c>
      <c r="O451" s="124" t="s">
        <v>916</v>
      </c>
      <c r="P451" s="118">
        <v>3726576.42</v>
      </c>
      <c r="Q451" s="118">
        <f>Q452</f>
        <v>0</v>
      </c>
      <c r="R451" s="118">
        <f>R452</f>
        <v>0</v>
      </c>
      <c r="S451" s="118">
        <f>S452</f>
        <v>3726576.42</v>
      </c>
      <c r="T451" s="118">
        <f t="shared" si="63"/>
        <v>4241.4937628044618</v>
      </c>
      <c r="U451" s="118">
        <f>U452</f>
        <v>4976.3409287502836</v>
      </c>
      <c r="V451" s="183">
        <f t="shared" si="55"/>
        <v>734.84716594582187</v>
      </c>
      <c r="W451" s="183"/>
      <c r="X451" s="183"/>
      <c r="Y451" s="64" t="e">
        <f t="shared" si="56"/>
        <v>#N/A</v>
      </c>
      <c r="AA451" s="64" t="e">
        <f t="shared" si="57"/>
        <v>#N/A</v>
      </c>
      <c r="AC451" s="64" t="s">
        <v>46</v>
      </c>
      <c r="AD451" s="64">
        <v>716.7</v>
      </c>
      <c r="AH451" s="64" t="e">
        <f t="shared" si="58"/>
        <v>#N/A</v>
      </c>
      <c r="AS451" s="64" t="e">
        <f t="shared" si="59"/>
        <v>#N/A</v>
      </c>
    </row>
    <row r="452" spans="1:45" s="64" customFormat="1" ht="36" customHeight="1" x14ac:dyDescent="0.9">
      <c r="A452" s="64">
        <v>1</v>
      </c>
      <c r="B452" s="92">
        <f>SUBTOTAL(103,$A$16:A452)</f>
        <v>395</v>
      </c>
      <c r="C452" s="91" t="s">
        <v>1603</v>
      </c>
      <c r="D452" s="126">
        <v>1979</v>
      </c>
      <c r="E452" s="126"/>
      <c r="F452" s="145" t="s">
        <v>273</v>
      </c>
      <c r="G452" s="126">
        <v>2</v>
      </c>
      <c r="H452" s="126">
        <v>2</v>
      </c>
      <c r="I452" s="118">
        <v>878.6</v>
      </c>
      <c r="J452" s="118">
        <v>516.76</v>
      </c>
      <c r="K452" s="118">
        <v>465.9</v>
      </c>
      <c r="L452" s="127">
        <v>65</v>
      </c>
      <c r="M452" s="126" t="s">
        <v>271</v>
      </c>
      <c r="N452" s="126" t="s">
        <v>272</v>
      </c>
      <c r="O452" s="124" t="s">
        <v>274</v>
      </c>
      <c r="P452" s="118">
        <v>3726576.42</v>
      </c>
      <c r="Q452" s="118">
        <v>0</v>
      </c>
      <c r="R452" s="118">
        <v>0</v>
      </c>
      <c r="S452" s="118">
        <f>P452-R452-Q452</f>
        <v>3726576.42</v>
      </c>
      <c r="T452" s="118">
        <f t="shared" si="63"/>
        <v>4241.4937628044618</v>
      </c>
      <c r="U452" s="118">
        <f>Y452</f>
        <v>4976.3409287502836</v>
      </c>
      <c r="V452" s="183">
        <f t="shared" si="55"/>
        <v>734.84716594582187</v>
      </c>
      <c r="W452" s="183"/>
      <c r="X452" s="183"/>
      <c r="Y452" s="64">
        <f t="shared" si="56"/>
        <v>4976.3409287502836</v>
      </c>
      <c r="AA452" s="64">
        <f t="shared" si="57"/>
        <v>837.3</v>
      </c>
      <c r="AC452" s="64" t="s">
        <v>1650</v>
      </c>
      <c r="AD452" s="64">
        <v>611.9</v>
      </c>
      <c r="AH452" s="64" t="e">
        <f t="shared" si="58"/>
        <v>#N/A</v>
      </c>
      <c r="AS452" s="64" t="e">
        <f t="shared" si="59"/>
        <v>#N/A</v>
      </c>
    </row>
    <row r="453" spans="1:45" s="64" customFormat="1" ht="36" customHeight="1" x14ac:dyDescent="0.9">
      <c r="B453" s="91" t="s">
        <v>872</v>
      </c>
      <c r="C453" s="172"/>
      <c r="D453" s="126" t="s">
        <v>916</v>
      </c>
      <c r="E453" s="126" t="s">
        <v>916</v>
      </c>
      <c r="F453" s="126" t="s">
        <v>916</v>
      </c>
      <c r="G453" s="126" t="s">
        <v>916</v>
      </c>
      <c r="H453" s="126" t="s">
        <v>916</v>
      </c>
      <c r="I453" s="117">
        <f>I454</f>
        <v>940.6</v>
      </c>
      <c r="J453" s="117">
        <f>J454</f>
        <v>495.6</v>
      </c>
      <c r="K453" s="117">
        <f>K454</f>
        <v>495.6</v>
      </c>
      <c r="L453" s="127">
        <f>L454</f>
        <v>33</v>
      </c>
      <c r="M453" s="126" t="s">
        <v>916</v>
      </c>
      <c r="N453" s="126" t="s">
        <v>916</v>
      </c>
      <c r="O453" s="124" t="s">
        <v>916</v>
      </c>
      <c r="P453" s="118">
        <v>5198352.66</v>
      </c>
      <c r="Q453" s="118">
        <f>Q454</f>
        <v>0</v>
      </c>
      <c r="R453" s="118">
        <f>R454</f>
        <v>0</v>
      </c>
      <c r="S453" s="118">
        <f>S454</f>
        <v>5198352.66</v>
      </c>
      <c r="T453" s="118">
        <f t="shared" si="63"/>
        <v>5526.6347650435891</v>
      </c>
      <c r="U453" s="118">
        <f>T453</f>
        <v>5526.6347650435891</v>
      </c>
      <c r="V453" s="183">
        <f t="shared" si="55"/>
        <v>0</v>
      </c>
      <c r="W453" s="183"/>
      <c r="X453" s="183"/>
      <c r="Y453" s="64" t="e">
        <f t="shared" si="56"/>
        <v>#N/A</v>
      </c>
      <c r="AA453" s="64" t="e">
        <f t="shared" si="57"/>
        <v>#N/A</v>
      </c>
      <c r="AC453" s="64" t="s">
        <v>54</v>
      </c>
      <c r="AD453" s="64">
        <v>1669.2</v>
      </c>
      <c r="AH453" s="64" t="e">
        <f t="shared" si="58"/>
        <v>#N/A</v>
      </c>
      <c r="AS453" s="64" t="e">
        <f t="shared" si="59"/>
        <v>#N/A</v>
      </c>
    </row>
    <row r="454" spans="1:45" s="64" customFormat="1" ht="36" customHeight="1" x14ac:dyDescent="0.9">
      <c r="A454" s="64">
        <v>1</v>
      </c>
      <c r="B454" s="92">
        <f>SUBTOTAL(103,$A$16:A454)</f>
        <v>396</v>
      </c>
      <c r="C454" s="91" t="s">
        <v>232</v>
      </c>
      <c r="D454" s="126">
        <v>1995</v>
      </c>
      <c r="E454" s="126"/>
      <c r="F454" s="145" t="s">
        <v>273</v>
      </c>
      <c r="G454" s="126">
        <v>2</v>
      </c>
      <c r="H454" s="126">
        <v>3</v>
      </c>
      <c r="I454" s="118">
        <v>940.6</v>
      </c>
      <c r="J454" s="118">
        <v>495.6</v>
      </c>
      <c r="K454" s="118">
        <v>495.6</v>
      </c>
      <c r="L454" s="127">
        <v>33</v>
      </c>
      <c r="M454" s="126" t="s">
        <v>271</v>
      </c>
      <c r="N454" s="126" t="s">
        <v>275</v>
      </c>
      <c r="O454" s="124" t="s">
        <v>726</v>
      </c>
      <c r="P454" s="118">
        <v>5198352.66</v>
      </c>
      <c r="Q454" s="118">
        <v>0</v>
      </c>
      <c r="R454" s="118">
        <v>0</v>
      </c>
      <c r="S454" s="118">
        <f>P454-Q454-R454</f>
        <v>5198352.66</v>
      </c>
      <c r="T454" s="118">
        <f t="shared" si="63"/>
        <v>5526.6347650435891</v>
      </c>
      <c r="U454" s="118">
        <f>T454</f>
        <v>5526.6347650435891</v>
      </c>
      <c r="V454" s="183">
        <f t="shared" si="55"/>
        <v>0</v>
      </c>
      <c r="W454" s="183"/>
      <c r="X454" s="183"/>
      <c r="Y454" s="64">
        <f t="shared" si="56"/>
        <v>4476.6692366574525</v>
      </c>
      <c r="AA454" s="64">
        <f t="shared" si="57"/>
        <v>806.38</v>
      </c>
      <c r="AC454" s="64" t="s">
        <v>53</v>
      </c>
      <c r="AD454" s="64">
        <v>444</v>
      </c>
      <c r="AH454" s="64" t="e">
        <f t="shared" si="58"/>
        <v>#N/A</v>
      </c>
      <c r="AS454" s="64" t="e">
        <f t="shared" si="59"/>
        <v>#N/A</v>
      </c>
    </row>
    <row r="455" spans="1:45" s="64" customFormat="1" ht="36" customHeight="1" x14ac:dyDescent="0.9">
      <c r="B455" s="91" t="s">
        <v>873</v>
      </c>
      <c r="C455" s="91"/>
      <c r="D455" s="126" t="s">
        <v>916</v>
      </c>
      <c r="E455" s="126" t="s">
        <v>916</v>
      </c>
      <c r="F455" s="126" t="s">
        <v>916</v>
      </c>
      <c r="G455" s="126" t="s">
        <v>916</v>
      </c>
      <c r="H455" s="126" t="s">
        <v>916</v>
      </c>
      <c r="I455" s="117">
        <f>I456</f>
        <v>320</v>
      </c>
      <c r="J455" s="117">
        <f>J456</f>
        <v>282.42</v>
      </c>
      <c r="K455" s="117">
        <f>K456</f>
        <v>282.42</v>
      </c>
      <c r="L455" s="127">
        <f>L456</f>
        <v>19</v>
      </c>
      <c r="M455" s="126" t="s">
        <v>916</v>
      </c>
      <c r="N455" s="126" t="s">
        <v>916</v>
      </c>
      <c r="O455" s="124" t="s">
        <v>916</v>
      </c>
      <c r="P455" s="118">
        <v>1821119.2799999998</v>
      </c>
      <c r="Q455" s="118">
        <f>Q456</f>
        <v>0</v>
      </c>
      <c r="R455" s="118">
        <f>R456</f>
        <v>0</v>
      </c>
      <c r="S455" s="118">
        <f>S456</f>
        <v>1821119.2799999998</v>
      </c>
      <c r="T455" s="118">
        <f t="shared" si="63"/>
        <v>5690.9977499999995</v>
      </c>
      <c r="U455" s="118">
        <f t="shared" ref="U455:U460" si="64">T455</f>
        <v>5690.9977499999995</v>
      </c>
      <c r="V455" s="183">
        <f t="shared" si="55"/>
        <v>0</v>
      </c>
      <c r="W455" s="183"/>
      <c r="X455" s="183"/>
      <c r="Y455" s="64" t="e">
        <f t="shared" si="56"/>
        <v>#N/A</v>
      </c>
      <c r="AA455" s="64" t="e">
        <f t="shared" si="57"/>
        <v>#N/A</v>
      </c>
      <c r="AC455" s="64" t="s">
        <v>60</v>
      </c>
      <c r="AD455" s="64">
        <v>663</v>
      </c>
      <c r="AH455" s="64" t="e">
        <f t="shared" si="58"/>
        <v>#N/A</v>
      </c>
      <c r="AS455" s="64" t="e">
        <f t="shared" si="59"/>
        <v>#N/A</v>
      </c>
    </row>
    <row r="456" spans="1:45" s="64" customFormat="1" ht="36" customHeight="1" x14ac:dyDescent="0.9">
      <c r="A456" s="64">
        <v>1</v>
      </c>
      <c r="B456" s="92">
        <f>SUBTOTAL(103,$A$16:A456)</f>
        <v>397</v>
      </c>
      <c r="C456" s="91" t="s">
        <v>235</v>
      </c>
      <c r="D456" s="126">
        <v>1975</v>
      </c>
      <c r="E456" s="126"/>
      <c r="F456" s="145" t="s">
        <v>273</v>
      </c>
      <c r="G456" s="126">
        <v>2</v>
      </c>
      <c r="H456" s="126">
        <v>1</v>
      </c>
      <c r="I456" s="118">
        <v>320</v>
      </c>
      <c r="J456" s="118">
        <v>282.42</v>
      </c>
      <c r="K456" s="118">
        <v>282.42</v>
      </c>
      <c r="L456" s="127">
        <v>19</v>
      </c>
      <c r="M456" s="126" t="s">
        <v>271</v>
      </c>
      <c r="N456" s="126" t="s">
        <v>275</v>
      </c>
      <c r="O456" s="124" t="s">
        <v>726</v>
      </c>
      <c r="P456" s="118">
        <v>1821119.2799999998</v>
      </c>
      <c r="Q456" s="118">
        <v>0</v>
      </c>
      <c r="R456" s="118">
        <v>0</v>
      </c>
      <c r="S456" s="118">
        <f>P456-Q456-R456</f>
        <v>1821119.2799999998</v>
      </c>
      <c r="T456" s="118">
        <f t="shared" si="63"/>
        <v>5690.9977499999995</v>
      </c>
      <c r="U456" s="118">
        <f t="shared" si="64"/>
        <v>5690.9977499999995</v>
      </c>
      <c r="V456" s="183">
        <f t="shared" si="55"/>
        <v>0</v>
      </c>
      <c r="W456" s="183"/>
      <c r="X456" s="183"/>
      <c r="Y456" s="64">
        <f t="shared" si="56"/>
        <v>5035.7733750000007</v>
      </c>
      <c r="AA456" s="64">
        <f t="shared" si="57"/>
        <v>308.60000000000002</v>
      </c>
      <c r="AC456" s="64" t="s">
        <v>61</v>
      </c>
      <c r="AD456" s="64">
        <v>660</v>
      </c>
      <c r="AH456" s="64" t="e">
        <f t="shared" si="58"/>
        <v>#N/A</v>
      </c>
      <c r="AS456" s="64" t="e">
        <f t="shared" si="59"/>
        <v>#N/A</v>
      </c>
    </row>
    <row r="457" spans="1:45" s="64" customFormat="1" ht="36" customHeight="1" x14ac:dyDescent="0.9">
      <c r="B457" s="91" t="s">
        <v>1321</v>
      </c>
      <c r="C457" s="91"/>
      <c r="D457" s="126" t="s">
        <v>916</v>
      </c>
      <c r="E457" s="126" t="s">
        <v>916</v>
      </c>
      <c r="F457" s="126" t="s">
        <v>916</v>
      </c>
      <c r="G457" s="126" t="s">
        <v>916</v>
      </c>
      <c r="H457" s="126" t="s">
        <v>916</v>
      </c>
      <c r="I457" s="117">
        <f>I458</f>
        <v>953.9</v>
      </c>
      <c r="J457" s="117">
        <f>J458</f>
        <v>857.7</v>
      </c>
      <c r="K457" s="117">
        <f>K458</f>
        <v>857.7</v>
      </c>
      <c r="L457" s="127">
        <f>L458</f>
        <v>28</v>
      </c>
      <c r="M457" s="126" t="s">
        <v>916</v>
      </c>
      <c r="N457" s="126" t="s">
        <v>916</v>
      </c>
      <c r="O457" s="124" t="s">
        <v>916</v>
      </c>
      <c r="P457" s="118">
        <v>4609049.76</v>
      </c>
      <c r="Q457" s="118">
        <f>Q458</f>
        <v>0</v>
      </c>
      <c r="R457" s="118">
        <f>R458</f>
        <v>0</v>
      </c>
      <c r="S457" s="118">
        <f>S458</f>
        <v>4609049.76</v>
      </c>
      <c r="T457" s="118">
        <f t="shared" si="63"/>
        <v>4831.7955341230736</v>
      </c>
      <c r="U457" s="118">
        <f t="shared" si="64"/>
        <v>4831.7955341230736</v>
      </c>
      <c r="V457" s="183">
        <f t="shared" si="55"/>
        <v>0</v>
      </c>
      <c r="W457" s="183"/>
      <c r="X457" s="183"/>
      <c r="Y457" s="64" t="e">
        <f t="shared" si="56"/>
        <v>#N/A</v>
      </c>
      <c r="AA457" s="64" t="e">
        <f t="shared" si="57"/>
        <v>#N/A</v>
      </c>
      <c r="AC457" s="64" t="s">
        <v>59</v>
      </c>
      <c r="AD457" s="64">
        <v>647</v>
      </c>
      <c r="AH457" s="64" t="e">
        <f t="shared" si="58"/>
        <v>#N/A</v>
      </c>
      <c r="AS457" s="64" t="e">
        <f t="shared" si="59"/>
        <v>#N/A</v>
      </c>
    </row>
    <row r="458" spans="1:45" s="64" customFormat="1" ht="36" customHeight="1" x14ac:dyDescent="0.9">
      <c r="A458" s="64">
        <v>1</v>
      </c>
      <c r="B458" s="92">
        <f>SUBTOTAL(103,$A$16:A458)</f>
        <v>398</v>
      </c>
      <c r="C458" s="91" t="s">
        <v>1322</v>
      </c>
      <c r="D458" s="126">
        <v>1984</v>
      </c>
      <c r="E458" s="126"/>
      <c r="F458" s="145" t="s">
        <v>273</v>
      </c>
      <c r="G458" s="126">
        <v>2</v>
      </c>
      <c r="H458" s="126">
        <v>3</v>
      </c>
      <c r="I458" s="118">
        <v>953.9</v>
      </c>
      <c r="J458" s="118">
        <v>857.7</v>
      </c>
      <c r="K458" s="118">
        <v>857.7</v>
      </c>
      <c r="L458" s="127">
        <v>28</v>
      </c>
      <c r="M458" s="126" t="s">
        <v>271</v>
      </c>
      <c r="N458" s="126" t="s">
        <v>272</v>
      </c>
      <c r="O458" s="124" t="s">
        <v>274</v>
      </c>
      <c r="P458" s="118">
        <v>4609049.76</v>
      </c>
      <c r="Q458" s="118">
        <v>0</v>
      </c>
      <c r="R458" s="118">
        <v>0</v>
      </c>
      <c r="S458" s="118">
        <f>P458-Q458-R458</f>
        <v>4609049.76</v>
      </c>
      <c r="T458" s="118">
        <f t="shared" si="63"/>
        <v>4831.7955341230736</v>
      </c>
      <c r="U458" s="118">
        <f t="shared" si="64"/>
        <v>4831.7955341230736</v>
      </c>
      <c r="V458" s="183">
        <f t="shared" si="55"/>
        <v>0</v>
      </c>
      <c r="W458" s="183"/>
      <c r="X458" s="183"/>
      <c r="Y458" s="64">
        <f t="shared" si="56"/>
        <v>4023.5066568822731</v>
      </c>
      <c r="AA458" s="64">
        <f t="shared" si="57"/>
        <v>735</v>
      </c>
      <c r="AC458" s="64" t="s">
        <v>62</v>
      </c>
      <c r="AD458" s="64">
        <v>536.20000000000005</v>
      </c>
      <c r="AH458" s="64" t="e">
        <f t="shared" si="58"/>
        <v>#N/A</v>
      </c>
      <c r="AS458" s="64" t="e">
        <f t="shared" si="59"/>
        <v>#N/A</v>
      </c>
    </row>
    <row r="459" spans="1:45" s="64" customFormat="1" ht="36" customHeight="1" x14ac:dyDescent="0.9">
      <c r="B459" s="91" t="s">
        <v>874</v>
      </c>
      <c r="C459" s="172"/>
      <c r="D459" s="126" t="s">
        <v>916</v>
      </c>
      <c r="E459" s="126" t="s">
        <v>916</v>
      </c>
      <c r="F459" s="126" t="s">
        <v>916</v>
      </c>
      <c r="G459" s="126" t="s">
        <v>916</v>
      </c>
      <c r="H459" s="126" t="s">
        <v>916</v>
      </c>
      <c r="I459" s="117">
        <f>I460</f>
        <v>1446.38</v>
      </c>
      <c r="J459" s="117">
        <f>J460</f>
        <v>996.18</v>
      </c>
      <c r="K459" s="117">
        <f>K460</f>
        <v>229.3</v>
      </c>
      <c r="L459" s="127">
        <f>L460</f>
        <v>93</v>
      </c>
      <c r="M459" s="126" t="s">
        <v>916</v>
      </c>
      <c r="N459" s="126" t="s">
        <v>916</v>
      </c>
      <c r="O459" s="124" t="s">
        <v>916</v>
      </c>
      <c r="P459" s="118">
        <v>5368567.4000000004</v>
      </c>
      <c r="Q459" s="118">
        <f>Q460</f>
        <v>0</v>
      </c>
      <c r="R459" s="118">
        <f>R460</f>
        <v>0</v>
      </c>
      <c r="S459" s="118">
        <f>S460</f>
        <v>5368567.4000000004</v>
      </c>
      <c r="T459" s="118">
        <f t="shared" si="63"/>
        <v>3711.7267937886309</v>
      </c>
      <c r="U459" s="118">
        <f t="shared" si="64"/>
        <v>3711.7267937886309</v>
      </c>
      <c r="V459" s="183">
        <f t="shared" si="55"/>
        <v>0</v>
      </c>
      <c r="W459" s="183"/>
      <c r="X459" s="183"/>
      <c r="Y459" s="64" t="e">
        <f t="shared" si="56"/>
        <v>#N/A</v>
      </c>
      <c r="AA459" s="64" t="e">
        <f t="shared" si="57"/>
        <v>#N/A</v>
      </c>
      <c r="AC459" s="64" t="s">
        <v>58</v>
      </c>
      <c r="AD459" s="64">
        <v>651.20000000000005</v>
      </c>
      <c r="AH459" s="64" t="e">
        <f t="shared" si="58"/>
        <v>#N/A</v>
      </c>
      <c r="AS459" s="64" t="e">
        <f t="shared" si="59"/>
        <v>#N/A</v>
      </c>
    </row>
    <row r="460" spans="1:45" s="64" customFormat="1" ht="36" customHeight="1" x14ac:dyDescent="0.9">
      <c r="A460" s="64">
        <v>1</v>
      </c>
      <c r="B460" s="92">
        <f>SUBTOTAL(103,$A$16:A460)</f>
        <v>399</v>
      </c>
      <c r="C460" s="91" t="s">
        <v>141</v>
      </c>
      <c r="D460" s="126">
        <v>1983</v>
      </c>
      <c r="E460" s="126"/>
      <c r="F460" s="145" t="s">
        <v>273</v>
      </c>
      <c r="G460" s="126">
        <v>2</v>
      </c>
      <c r="H460" s="126">
        <v>1</v>
      </c>
      <c r="I460" s="118">
        <v>1446.38</v>
      </c>
      <c r="J460" s="118">
        <v>996.18</v>
      </c>
      <c r="K460" s="118">
        <v>229.3</v>
      </c>
      <c r="L460" s="127">
        <v>93</v>
      </c>
      <c r="M460" s="126" t="s">
        <v>271</v>
      </c>
      <c r="N460" s="126" t="s">
        <v>275</v>
      </c>
      <c r="O460" s="124" t="s">
        <v>1021</v>
      </c>
      <c r="P460" s="118">
        <v>5368567.4000000004</v>
      </c>
      <c r="Q460" s="118">
        <v>0</v>
      </c>
      <c r="R460" s="118">
        <v>0</v>
      </c>
      <c r="S460" s="118">
        <f>P460-Q460-R460</f>
        <v>5368567.4000000004</v>
      </c>
      <c r="T460" s="118">
        <f t="shared" si="63"/>
        <v>3711.7267937886309</v>
      </c>
      <c r="U460" s="118">
        <f t="shared" si="64"/>
        <v>3711.7267937886309</v>
      </c>
      <c r="V460" s="183">
        <f t="shared" si="55"/>
        <v>0</v>
      </c>
      <c r="W460" s="183"/>
      <c r="X460" s="183"/>
      <c r="Y460" s="64">
        <f t="shared" si="56"/>
        <v>3538.0494752416375</v>
      </c>
      <c r="AA460" s="64">
        <f t="shared" si="57"/>
        <v>980</v>
      </c>
      <c r="AC460" s="64" t="s">
        <v>234</v>
      </c>
      <c r="AD460" s="64">
        <v>858</v>
      </c>
      <c r="AH460" s="64" t="e">
        <f t="shared" si="58"/>
        <v>#N/A</v>
      </c>
      <c r="AS460" s="64" t="e">
        <f t="shared" si="59"/>
        <v>#N/A</v>
      </c>
    </row>
    <row r="461" spans="1:45" s="64" customFormat="1" ht="36" customHeight="1" x14ac:dyDescent="0.9">
      <c r="B461" s="91" t="s">
        <v>875</v>
      </c>
      <c r="C461" s="91"/>
      <c r="D461" s="126" t="s">
        <v>916</v>
      </c>
      <c r="E461" s="126" t="s">
        <v>916</v>
      </c>
      <c r="F461" s="126" t="s">
        <v>916</v>
      </c>
      <c r="G461" s="126" t="s">
        <v>916</v>
      </c>
      <c r="H461" s="126" t="s">
        <v>916</v>
      </c>
      <c r="I461" s="117">
        <f>I462</f>
        <v>676.3</v>
      </c>
      <c r="J461" s="117">
        <f>J462</f>
        <v>631.49</v>
      </c>
      <c r="K461" s="117">
        <f>K462</f>
        <v>546.79</v>
      </c>
      <c r="L461" s="127">
        <f>L462</f>
        <v>33</v>
      </c>
      <c r="M461" s="126" t="s">
        <v>916</v>
      </c>
      <c r="N461" s="126" t="s">
        <v>916</v>
      </c>
      <c r="O461" s="124" t="s">
        <v>916</v>
      </c>
      <c r="P461" s="118">
        <v>2682382.0500000003</v>
      </c>
      <c r="Q461" s="118">
        <f>Q462</f>
        <v>0</v>
      </c>
      <c r="R461" s="118">
        <f>R462</f>
        <v>0</v>
      </c>
      <c r="S461" s="118">
        <f>S462</f>
        <v>2682382.0500000003</v>
      </c>
      <c r="T461" s="118">
        <f t="shared" si="63"/>
        <v>3966.2606091971024</v>
      </c>
      <c r="U461" s="118">
        <f>U462</f>
        <v>4857.3404493798917</v>
      </c>
      <c r="V461" s="183">
        <f t="shared" si="55"/>
        <v>891.07984018278921</v>
      </c>
      <c r="W461" s="183"/>
      <c r="X461" s="183"/>
      <c r="Y461" s="64" t="e">
        <f t="shared" si="56"/>
        <v>#N/A</v>
      </c>
      <c r="AA461" s="64" t="e">
        <f t="shared" si="57"/>
        <v>#N/A</v>
      </c>
      <c r="AC461" s="64" t="s">
        <v>233</v>
      </c>
      <c r="AD461" s="64">
        <v>345</v>
      </c>
      <c r="AH461" s="64" t="e">
        <f t="shared" si="58"/>
        <v>#N/A</v>
      </c>
      <c r="AS461" s="64" t="e">
        <f t="shared" si="59"/>
        <v>#N/A</v>
      </c>
    </row>
    <row r="462" spans="1:45" s="64" customFormat="1" ht="36" customHeight="1" x14ac:dyDescent="0.9">
      <c r="A462" s="64">
        <v>1</v>
      </c>
      <c r="B462" s="92">
        <f>SUBTOTAL(103,$A$16:A462)</f>
        <v>400</v>
      </c>
      <c r="C462" s="91" t="s">
        <v>146</v>
      </c>
      <c r="D462" s="126">
        <v>1965</v>
      </c>
      <c r="E462" s="126"/>
      <c r="F462" s="145" t="s">
        <v>273</v>
      </c>
      <c r="G462" s="126">
        <v>2</v>
      </c>
      <c r="H462" s="126">
        <v>2</v>
      </c>
      <c r="I462" s="118">
        <v>676.3</v>
      </c>
      <c r="J462" s="118">
        <v>631.49</v>
      </c>
      <c r="K462" s="118">
        <v>546.79</v>
      </c>
      <c r="L462" s="127">
        <v>33</v>
      </c>
      <c r="M462" s="126" t="s">
        <v>271</v>
      </c>
      <c r="N462" s="126" t="s">
        <v>275</v>
      </c>
      <c r="O462" s="124" t="s">
        <v>294</v>
      </c>
      <c r="P462" s="118">
        <v>2682382.0500000003</v>
      </c>
      <c r="Q462" s="118">
        <v>0</v>
      </c>
      <c r="R462" s="118">
        <v>0</v>
      </c>
      <c r="S462" s="118">
        <f>P462-Q462-R462</f>
        <v>2682382.0500000003</v>
      </c>
      <c r="T462" s="118">
        <f t="shared" si="63"/>
        <v>3966.2606091971024</v>
      </c>
      <c r="U462" s="118">
        <f>Y462</f>
        <v>4857.3404493798917</v>
      </c>
      <c r="V462" s="183">
        <f t="shared" si="55"/>
        <v>891.07984018278921</v>
      </c>
      <c r="W462" s="183"/>
      <c r="X462" s="183"/>
      <c r="Y462" s="64">
        <f t="shared" si="56"/>
        <v>4857.3404493798917</v>
      </c>
      <c r="AA462" s="64">
        <f t="shared" si="57"/>
        <v>629.09712090000005</v>
      </c>
      <c r="AC462" s="64" t="s">
        <v>151</v>
      </c>
      <c r="AD462" s="64">
        <v>300</v>
      </c>
      <c r="AH462" s="64" t="e">
        <f t="shared" si="58"/>
        <v>#N/A</v>
      </c>
      <c r="AS462" s="64" t="e">
        <f t="shared" si="59"/>
        <v>#N/A</v>
      </c>
    </row>
    <row r="463" spans="1:45" s="64" customFormat="1" ht="36" customHeight="1" x14ac:dyDescent="0.9">
      <c r="B463" s="91" t="s">
        <v>876</v>
      </c>
      <c r="C463" s="91"/>
      <c r="D463" s="126" t="s">
        <v>916</v>
      </c>
      <c r="E463" s="126" t="s">
        <v>916</v>
      </c>
      <c r="F463" s="126" t="s">
        <v>916</v>
      </c>
      <c r="G463" s="126" t="s">
        <v>916</v>
      </c>
      <c r="H463" s="126" t="s">
        <v>916</v>
      </c>
      <c r="I463" s="117">
        <f>SUM(I464:I468)</f>
        <v>3415.58</v>
      </c>
      <c r="J463" s="117">
        <f>SUM(J464:J468)</f>
        <v>3004.1000000000004</v>
      </c>
      <c r="K463" s="117">
        <f>SUM(K464:K468)</f>
        <v>2955.3</v>
      </c>
      <c r="L463" s="127">
        <f>SUM(L464:L468)</f>
        <v>141</v>
      </c>
      <c r="M463" s="126" t="s">
        <v>916</v>
      </c>
      <c r="N463" s="126" t="s">
        <v>916</v>
      </c>
      <c r="O463" s="124" t="s">
        <v>916</v>
      </c>
      <c r="P463" s="118">
        <v>11742480.740000002</v>
      </c>
      <c r="Q463" s="118">
        <f>SUM(Q464:Q468)</f>
        <v>0</v>
      </c>
      <c r="R463" s="118">
        <f>SUM(R464:R468)</f>
        <v>0</v>
      </c>
      <c r="S463" s="118">
        <f>SUM(S464:S468)</f>
        <v>11742480.740000002</v>
      </c>
      <c r="T463" s="118">
        <f t="shared" si="63"/>
        <v>3437.9170565467657</v>
      </c>
      <c r="U463" s="118">
        <f>MAX(U464:U468)</f>
        <v>6590.812635692575</v>
      </c>
      <c r="V463" s="183">
        <f t="shared" si="55"/>
        <v>3152.8955791458093</v>
      </c>
      <c r="W463" s="183"/>
      <c r="X463" s="183"/>
      <c r="Y463" s="64" t="e">
        <f t="shared" si="56"/>
        <v>#N/A</v>
      </c>
      <c r="AA463" s="64" t="e">
        <f t="shared" si="57"/>
        <v>#N/A</v>
      </c>
      <c r="AC463" s="64" t="s">
        <v>152</v>
      </c>
      <c r="AD463" s="64">
        <v>660.00388180300001</v>
      </c>
      <c r="AH463" s="64" t="e">
        <f t="shared" si="58"/>
        <v>#N/A</v>
      </c>
      <c r="AS463" s="64" t="e">
        <f t="shared" si="59"/>
        <v>#N/A</v>
      </c>
    </row>
    <row r="464" spans="1:45" s="64" customFormat="1" ht="36" customHeight="1" x14ac:dyDescent="0.9">
      <c r="A464" s="64">
        <v>1</v>
      </c>
      <c r="B464" s="92">
        <f>SUBTOTAL(103,$A$16:A464)</f>
        <v>401</v>
      </c>
      <c r="C464" s="91" t="s">
        <v>144</v>
      </c>
      <c r="D464" s="126">
        <v>1983</v>
      </c>
      <c r="E464" s="126"/>
      <c r="F464" s="145" t="s">
        <v>273</v>
      </c>
      <c r="G464" s="126">
        <v>3</v>
      </c>
      <c r="H464" s="126">
        <v>2</v>
      </c>
      <c r="I464" s="118">
        <v>1387.1</v>
      </c>
      <c r="J464" s="118">
        <v>1285.0999999999999</v>
      </c>
      <c r="K464" s="118">
        <v>1285.0999999999999</v>
      </c>
      <c r="L464" s="127">
        <v>57</v>
      </c>
      <c r="M464" s="126" t="s">
        <v>271</v>
      </c>
      <c r="N464" s="126" t="s">
        <v>275</v>
      </c>
      <c r="O464" s="124" t="s">
        <v>295</v>
      </c>
      <c r="P464" s="118">
        <v>3824431.2399999998</v>
      </c>
      <c r="Q464" s="118">
        <v>0</v>
      </c>
      <c r="R464" s="118">
        <v>0</v>
      </c>
      <c r="S464" s="118">
        <f>P464-Q464-R464</f>
        <v>3824431.2399999998</v>
      </c>
      <c r="T464" s="118">
        <f t="shared" si="63"/>
        <v>2757.1416912983923</v>
      </c>
      <c r="U464" s="118">
        <v>2757.1416912983923</v>
      </c>
      <c r="V464" s="183">
        <f t="shared" si="55"/>
        <v>0</v>
      </c>
      <c r="W464" s="183"/>
      <c r="X464" s="183"/>
      <c r="Y464" s="64" t="e">
        <f t="shared" si="56"/>
        <v>#N/A</v>
      </c>
      <c r="AA464" s="64" t="e">
        <f t="shared" si="57"/>
        <v>#N/A</v>
      </c>
      <c r="AC464" s="64" t="s">
        <v>157</v>
      </c>
      <c r="AD464" s="64">
        <v>600</v>
      </c>
      <c r="AH464" s="64" t="e">
        <f t="shared" si="58"/>
        <v>#N/A</v>
      </c>
      <c r="AS464" s="64" t="e">
        <f t="shared" si="59"/>
        <v>#N/A</v>
      </c>
    </row>
    <row r="465" spans="1:45" s="64" customFormat="1" ht="36" customHeight="1" x14ac:dyDescent="0.9">
      <c r="A465" s="64">
        <v>1</v>
      </c>
      <c r="B465" s="92">
        <f>SUBTOTAL(103,$A$16:A465)</f>
        <v>402</v>
      </c>
      <c r="C465" s="91" t="s">
        <v>145</v>
      </c>
      <c r="D465" s="126">
        <v>1964</v>
      </c>
      <c r="E465" s="126"/>
      <c r="F465" s="145" t="s">
        <v>273</v>
      </c>
      <c r="G465" s="126">
        <v>2</v>
      </c>
      <c r="H465" s="126">
        <v>1</v>
      </c>
      <c r="I465" s="118">
        <v>337.2</v>
      </c>
      <c r="J465" s="118">
        <v>313.2</v>
      </c>
      <c r="K465" s="118">
        <v>313.2</v>
      </c>
      <c r="L465" s="127">
        <v>19</v>
      </c>
      <c r="M465" s="126" t="s">
        <v>271</v>
      </c>
      <c r="N465" s="126" t="s">
        <v>275</v>
      </c>
      <c r="O465" s="124" t="s">
        <v>295</v>
      </c>
      <c r="P465" s="118">
        <v>1510400.1400000001</v>
      </c>
      <c r="Q465" s="118">
        <v>0</v>
      </c>
      <c r="R465" s="118">
        <v>0</v>
      </c>
      <c r="S465" s="118">
        <f>P465-Q465-R465</f>
        <v>1510400.1400000001</v>
      </c>
      <c r="T465" s="118">
        <f t="shared" si="63"/>
        <v>4479.2412218268091</v>
      </c>
      <c r="U465" s="118">
        <f>Y465</f>
        <v>4921.3761565836303</v>
      </c>
      <c r="V465" s="183">
        <f t="shared" ref="V465:V528" si="65">U465-T465</f>
        <v>442.13493475682117</v>
      </c>
      <c r="W465" s="183"/>
      <c r="X465" s="183"/>
      <c r="Y465" s="64">
        <f t="shared" ref="Y465:Y528" si="66">AA465*5221.8/I465</f>
        <v>4921.3761565836303</v>
      </c>
      <c r="AA465" s="64">
        <f t="shared" ref="AA465:AA528" si="67">VLOOKUP(C465,AC:AE,2,FALSE)</f>
        <v>317.8</v>
      </c>
      <c r="AC465" s="64" t="s">
        <v>156</v>
      </c>
      <c r="AD465" s="64">
        <v>785</v>
      </c>
      <c r="AH465" s="64" t="e">
        <f t="shared" ref="AH465:AH528" si="68">VLOOKUP(C465,AJ:AK,2,FALSE)</f>
        <v>#N/A</v>
      </c>
      <c r="AS465" s="64" t="e">
        <f t="shared" ref="AS465:AS528" si="69">VLOOKUP(C465,AU:AV,2,FALSE)</f>
        <v>#N/A</v>
      </c>
    </row>
    <row r="466" spans="1:45" s="64" customFormat="1" ht="36" customHeight="1" x14ac:dyDescent="0.9">
      <c r="A466" s="64">
        <v>1</v>
      </c>
      <c r="B466" s="92">
        <f>SUBTOTAL(103,$A$16:A466)</f>
        <v>403</v>
      </c>
      <c r="C466" s="91" t="s">
        <v>1292</v>
      </c>
      <c r="D466" s="126">
        <v>1962</v>
      </c>
      <c r="E466" s="126"/>
      <c r="F466" s="145" t="s">
        <v>273</v>
      </c>
      <c r="G466" s="126">
        <v>2</v>
      </c>
      <c r="H466" s="126">
        <v>1</v>
      </c>
      <c r="I466" s="118">
        <v>658.78</v>
      </c>
      <c r="J466" s="118">
        <v>373.3</v>
      </c>
      <c r="K466" s="118">
        <v>373.3</v>
      </c>
      <c r="L466" s="127">
        <v>21</v>
      </c>
      <c r="M466" s="126" t="s">
        <v>271</v>
      </c>
      <c r="N466" s="126" t="s">
        <v>272</v>
      </c>
      <c r="O466" s="124" t="s">
        <v>274</v>
      </c>
      <c r="P466" s="118">
        <v>1911218.1</v>
      </c>
      <c r="Q466" s="118">
        <v>0</v>
      </c>
      <c r="R466" s="118">
        <v>0</v>
      </c>
      <c r="S466" s="118">
        <f>P466-Q466-R466</f>
        <v>1911218.1</v>
      </c>
      <c r="T466" s="118">
        <f t="shared" si="63"/>
        <v>2901.1477276177179</v>
      </c>
      <c r="U466" s="118">
        <f>AG466</f>
        <v>5250.8614626305916</v>
      </c>
      <c r="V466" s="183">
        <f t="shared" si="65"/>
        <v>2349.7137350128737</v>
      </c>
      <c r="W466" s="183"/>
      <c r="X466" s="183"/>
      <c r="Y466" s="64" t="e">
        <f t="shared" si="66"/>
        <v>#N/A</v>
      </c>
      <c r="AA466" s="64" t="e">
        <f t="shared" si="67"/>
        <v>#N/A</v>
      </c>
      <c r="AC466" s="64" t="s">
        <v>155</v>
      </c>
      <c r="AD466" s="64">
        <v>602.30499999999995</v>
      </c>
      <c r="AG466" s="64">
        <f>AH466*6191.24/J466</f>
        <v>5250.8614626305916</v>
      </c>
      <c r="AH466" s="64">
        <f t="shared" si="68"/>
        <v>316.60000000000002</v>
      </c>
      <c r="AS466" s="64" t="e">
        <f t="shared" si="69"/>
        <v>#N/A</v>
      </c>
    </row>
    <row r="467" spans="1:45" s="64" customFormat="1" ht="36" customHeight="1" x14ac:dyDescent="0.9">
      <c r="A467" s="64">
        <v>1</v>
      </c>
      <c r="B467" s="92">
        <f>SUBTOTAL(103,$A$16:A467)</f>
        <v>404</v>
      </c>
      <c r="C467" s="91" t="s">
        <v>1293</v>
      </c>
      <c r="D467" s="126">
        <v>1961</v>
      </c>
      <c r="E467" s="126"/>
      <c r="F467" s="145" t="s">
        <v>273</v>
      </c>
      <c r="G467" s="126">
        <v>2</v>
      </c>
      <c r="H467" s="126">
        <v>1</v>
      </c>
      <c r="I467" s="118">
        <v>230.3</v>
      </c>
      <c r="J467" s="118">
        <v>230.3</v>
      </c>
      <c r="K467" s="118">
        <v>181.5</v>
      </c>
      <c r="L467" s="127">
        <v>8</v>
      </c>
      <c r="M467" s="126" t="s">
        <v>271</v>
      </c>
      <c r="N467" s="126" t="s">
        <v>275</v>
      </c>
      <c r="O467" s="124" t="s">
        <v>295</v>
      </c>
      <c r="P467" s="118">
        <v>1517864.1500000001</v>
      </c>
      <c r="Q467" s="118">
        <v>0</v>
      </c>
      <c r="R467" s="118">
        <v>0</v>
      </c>
      <c r="S467" s="118">
        <f>P467-Q467-R467</f>
        <v>1517864.1500000001</v>
      </c>
      <c r="T467" s="118">
        <f t="shared" si="63"/>
        <v>6590.812635692575</v>
      </c>
      <c r="U467" s="118">
        <f>T467</f>
        <v>6590.812635692575</v>
      </c>
      <c r="V467" s="183">
        <f t="shared" si="65"/>
        <v>0</v>
      </c>
      <c r="W467" s="183"/>
      <c r="X467" s="183"/>
      <c r="Y467" s="64">
        <f t="shared" si="66"/>
        <v>4303.5069040382114</v>
      </c>
      <c r="AA467" s="64">
        <f t="shared" si="67"/>
        <v>189.8</v>
      </c>
      <c r="AC467" s="64" t="s">
        <v>148</v>
      </c>
      <c r="AD467" s="64">
        <v>1101.8</v>
      </c>
      <c r="AH467" s="64" t="e">
        <f t="shared" si="68"/>
        <v>#N/A</v>
      </c>
      <c r="AS467" s="64" t="e">
        <f t="shared" si="69"/>
        <v>#N/A</v>
      </c>
    </row>
    <row r="468" spans="1:45" s="64" customFormat="1" ht="36" customHeight="1" x14ac:dyDescent="0.9">
      <c r="A468" s="64">
        <v>1</v>
      </c>
      <c r="B468" s="92">
        <f>SUBTOTAL(103,$A$16:A468)</f>
        <v>405</v>
      </c>
      <c r="C468" s="91" t="s">
        <v>1328</v>
      </c>
      <c r="D468" s="126">
        <v>1974</v>
      </c>
      <c r="E468" s="126"/>
      <c r="F468" s="145" t="s">
        <v>273</v>
      </c>
      <c r="G468" s="126">
        <v>2</v>
      </c>
      <c r="H468" s="126">
        <v>2</v>
      </c>
      <c r="I468" s="118">
        <v>802.2</v>
      </c>
      <c r="J468" s="118">
        <v>802.2</v>
      </c>
      <c r="K468" s="118">
        <v>802.2</v>
      </c>
      <c r="L468" s="127">
        <v>36</v>
      </c>
      <c r="M468" s="126" t="s">
        <v>271</v>
      </c>
      <c r="N468" s="126" t="s">
        <v>272</v>
      </c>
      <c r="O468" s="124" t="s">
        <v>274</v>
      </c>
      <c r="P468" s="118">
        <v>2978567.1100000003</v>
      </c>
      <c r="Q468" s="118">
        <v>0</v>
      </c>
      <c r="R468" s="118">
        <v>0</v>
      </c>
      <c r="S468" s="118">
        <f>P468-Q468-R468</f>
        <v>2978567.1100000003</v>
      </c>
      <c r="T468" s="118">
        <f t="shared" si="63"/>
        <v>3712.9981426078289</v>
      </c>
      <c r="U468" s="118">
        <f>Y468</f>
        <v>3884.7796559461476</v>
      </c>
      <c r="V468" s="183">
        <f t="shared" si="65"/>
        <v>171.78151333831875</v>
      </c>
      <c r="W468" s="183"/>
      <c r="X468" s="183"/>
      <c r="Y468" s="64">
        <f t="shared" si="66"/>
        <v>3884.7796559461476</v>
      </c>
      <c r="AA468" s="64">
        <f t="shared" si="67"/>
        <v>596.79999999999995</v>
      </c>
      <c r="AC468" s="64" t="s">
        <v>160</v>
      </c>
      <c r="AD468" s="64">
        <v>1541.85</v>
      </c>
      <c r="AH468" s="64" t="e">
        <f t="shared" si="68"/>
        <v>#N/A</v>
      </c>
      <c r="AS468" s="64" t="e">
        <f t="shared" si="69"/>
        <v>#N/A</v>
      </c>
    </row>
    <row r="469" spans="1:45" s="64" customFormat="1" ht="36" customHeight="1" x14ac:dyDescent="0.9">
      <c r="B469" s="91" t="s">
        <v>877</v>
      </c>
      <c r="C469" s="91"/>
      <c r="D469" s="126" t="s">
        <v>916</v>
      </c>
      <c r="E469" s="126" t="s">
        <v>916</v>
      </c>
      <c r="F469" s="126" t="s">
        <v>916</v>
      </c>
      <c r="G469" s="126" t="s">
        <v>916</v>
      </c>
      <c r="H469" s="126" t="s">
        <v>916</v>
      </c>
      <c r="I469" s="117">
        <f>SUM(I470:I480)</f>
        <v>39848.200000000004</v>
      </c>
      <c r="J469" s="117">
        <f>SUM(J470:J480)</f>
        <v>19167.72</v>
      </c>
      <c r="K469" s="117">
        <f>SUM(K470:K480)</f>
        <v>30272.280000000002</v>
      </c>
      <c r="L469" s="127">
        <f>SUM(L470:L480)</f>
        <v>1332</v>
      </c>
      <c r="M469" s="126" t="s">
        <v>916</v>
      </c>
      <c r="N469" s="126" t="s">
        <v>916</v>
      </c>
      <c r="O469" s="124" t="s">
        <v>916</v>
      </c>
      <c r="P469" s="117">
        <v>43274846.74000001</v>
      </c>
      <c r="Q469" s="117">
        <f>SUM(Q470:Q480)</f>
        <v>0</v>
      </c>
      <c r="R469" s="117">
        <f>SUM(R470:R480)</f>
        <v>0</v>
      </c>
      <c r="S469" s="117">
        <f>SUM(S470:S480)</f>
        <v>43274846.74000001</v>
      </c>
      <c r="T469" s="118">
        <f t="shared" si="63"/>
        <v>1085.9925100757375</v>
      </c>
      <c r="U469" s="118">
        <f>MAX(U470:U480)</f>
        <v>5085.205090252708</v>
      </c>
      <c r="V469" s="183">
        <f t="shared" si="65"/>
        <v>3999.2125801769707</v>
      </c>
      <c r="W469" s="183"/>
      <c r="X469" s="183"/>
      <c r="Y469" s="64" t="e">
        <f t="shared" si="66"/>
        <v>#N/A</v>
      </c>
      <c r="AA469" s="64" t="e">
        <f t="shared" si="67"/>
        <v>#N/A</v>
      </c>
      <c r="AC469" s="64" t="s">
        <v>97</v>
      </c>
      <c r="AD469" s="64">
        <v>770</v>
      </c>
      <c r="AH469" s="64" t="e">
        <f t="shared" si="68"/>
        <v>#N/A</v>
      </c>
      <c r="AS469" s="64" t="e">
        <f t="shared" si="69"/>
        <v>#N/A</v>
      </c>
    </row>
    <row r="470" spans="1:45" s="64" customFormat="1" ht="36" customHeight="1" x14ac:dyDescent="0.9">
      <c r="A470" s="64">
        <v>1</v>
      </c>
      <c r="B470" s="92">
        <f>SUBTOTAL(103,$A$16:A470)</f>
        <v>406</v>
      </c>
      <c r="C470" s="91" t="s">
        <v>147</v>
      </c>
      <c r="D470" s="126">
        <v>1976</v>
      </c>
      <c r="E470" s="126"/>
      <c r="F470" s="145" t="s">
        <v>293</v>
      </c>
      <c r="G470" s="126">
        <v>5</v>
      </c>
      <c r="H470" s="126">
        <v>8</v>
      </c>
      <c r="I470" s="118">
        <v>8133.81</v>
      </c>
      <c r="J470" s="118">
        <v>3519.76</v>
      </c>
      <c r="K470" s="118">
        <v>322.68</v>
      </c>
      <c r="L470" s="127">
        <v>200</v>
      </c>
      <c r="M470" s="126" t="s">
        <v>271</v>
      </c>
      <c r="N470" s="126" t="s">
        <v>275</v>
      </c>
      <c r="O470" s="124" t="s">
        <v>296</v>
      </c>
      <c r="P470" s="118">
        <v>5610321.0300000003</v>
      </c>
      <c r="Q470" s="118">
        <v>0</v>
      </c>
      <c r="R470" s="118">
        <v>0</v>
      </c>
      <c r="S470" s="118">
        <f t="shared" ref="S470:S477" si="70">P470-Q470-R470</f>
        <v>5610321.0300000003</v>
      </c>
      <c r="T470" s="118">
        <f t="shared" si="63"/>
        <v>689.75314520501468</v>
      </c>
      <c r="U470" s="118">
        <f>Y470</f>
        <v>979.15851980806042</v>
      </c>
      <c r="V470" s="183">
        <f t="shared" si="65"/>
        <v>289.40537460304574</v>
      </c>
      <c r="W470" s="183"/>
      <c r="X470" s="183"/>
      <c r="Y470" s="64">
        <f t="shared" si="66"/>
        <v>979.15851980806042</v>
      </c>
      <c r="AA470" s="64">
        <f t="shared" si="67"/>
        <v>1525.2</v>
      </c>
      <c r="AC470" s="64" t="s">
        <v>96</v>
      </c>
      <c r="AD470" s="64">
        <v>958</v>
      </c>
      <c r="AH470" s="64" t="e">
        <f t="shared" si="68"/>
        <v>#N/A</v>
      </c>
      <c r="AS470" s="64" t="e">
        <f t="shared" si="69"/>
        <v>#N/A</v>
      </c>
    </row>
    <row r="471" spans="1:45" s="64" customFormat="1" ht="36" customHeight="1" x14ac:dyDescent="0.9">
      <c r="A471" s="64">
        <v>1</v>
      </c>
      <c r="B471" s="92">
        <f>SUBTOTAL(103,$A$16:A471)</f>
        <v>407</v>
      </c>
      <c r="C471" s="91" t="s">
        <v>142</v>
      </c>
      <c r="D471" s="126">
        <v>1969</v>
      </c>
      <c r="E471" s="126"/>
      <c r="F471" s="145" t="s">
        <v>293</v>
      </c>
      <c r="G471" s="126">
        <v>5</v>
      </c>
      <c r="H471" s="126">
        <v>5</v>
      </c>
      <c r="I471" s="118">
        <v>7171.2</v>
      </c>
      <c r="J471" s="118">
        <v>2897.5</v>
      </c>
      <c r="K471" s="118">
        <v>181.3</v>
      </c>
      <c r="L471" s="127">
        <v>156</v>
      </c>
      <c r="M471" s="126" t="s">
        <v>271</v>
      </c>
      <c r="N471" s="126" t="s">
        <v>275</v>
      </c>
      <c r="O471" s="124" t="s">
        <v>296</v>
      </c>
      <c r="P471" s="118">
        <v>5343157.95</v>
      </c>
      <c r="Q471" s="118">
        <v>0</v>
      </c>
      <c r="R471" s="118">
        <v>0</v>
      </c>
      <c r="S471" s="118">
        <f t="shared" si="70"/>
        <v>5343157.95</v>
      </c>
      <c r="T471" s="118">
        <f t="shared" si="63"/>
        <v>745.08561328647932</v>
      </c>
      <c r="U471" s="118">
        <f>Y471</f>
        <v>830.10542168674704</v>
      </c>
      <c r="V471" s="183">
        <f t="shared" si="65"/>
        <v>85.019808400267721</v>
      </c>
      <c r="W471" s="183"/>
      <c r="X471" s="183"/>
      <c r="Y471" s="64">
        <f t="shared" si="66"/>
        <v>830.10542168674704</v>
      </c>
      <c r="AA471" s="64">
        <f t="shared" si="67"/>
        <v>1140</v>
      </c>
      <c r="AC471" s="64" t="s">
        <v>98</v>
      </c>
      <c r="AD471" s="64">
        <v>590</v>
      </c>
      <c r="AH471" s="64" t="e">
        <f t="shared" si="68"/>
        <v>#N/A</v>
      </c>
      <c r="AS471" s="64" t="e">
        <f t="shared" si="69"/>
        <v>#N/A</v>
      </c>
    </row>
    <row r="472" spans="1:45" s="64" customFormat="1" ht="36" customHeight="1" x14ac:dyDescent="0.9">
      <c r="A472" s="64">
        <v>1</v>
      </c>
      <c r="B472" s="92">
        <f>SUBTOTAL(103,$A$16:A472)</f>
        <v>408</v>
      </c>
      <c r="C472" s="91" t="s">
        <v>143</v>
      </c>
      <c r="D472" s="126">
        <v>1987</v>
      </c>
      <c r="E472" s="126"/>
      <c r="F472" s="145" t="s">
        <v>293</v>
      </c>
      <c r="G472" s="126">
        <v>5</v>
      </c>
      <c r="H472" s="126">
        <v>7</v>
      </c>
      <c r="I472" s="118">
        <v>7649.2</v>
      </c>
      <c r="J472" s="118">
        <v>3077.1</v>
      </c>
      <c r="K472" s="118">
        <v>260.8</v>
      </c>
      <c r="L472" s="127">
        <v>237</v>
      </c>
      <c r="M472" s="126" t="s">
        <v>271</v>
      </c>
      <c r="N472" s="126" t="s">
        <v>275</v>
      </c>
      <c r="O472" s="124" t="s">
        <v>296</v>
      </c>
      <c r="P472" s="118">
        <v>5046150.49</v>
      </c>
      <c r="Q472" s="118">
        <v>0</v>
      </c>
      <c r="R472" s="118">
        <v>0</v>
      </c>
      <c r="S472" s="118">
        <f t="shared" si="70"/>
        <v>5046150.49</v>
      </c>
      <c r="T472" s="118">
        <f t="shared" si="63"/>
        <v>659.69650290226434</v>
      </c>
      <c r="U472" s="118">
        <f>Y472</f>
        <v>937.70126026251103</v>
      </c>
      <c r="V472" s="183">
        <f t="shared" si="65"/>
        <v>278.00475736024669</v>
      </c>
      <c r="W472" s="183"/>
      <c r="X472" s="183"/>
      <c r="Y472" s="64">
        <f t="shared" si="66"/>
        <v>937.70126026251103</v>
      </c>
      <c r="AA472" s="64">
        <f t="shared" si="67"/>
        <v>1373.6</v>
      </c>
      <c r="AC472" s="64" t="s">
        <v>99</v>
      </c>
      <c r="AD472" s="64">
        <v>700</v>
      </c>
      <c r="AH472" s="64" t="e">
        <f t="shared" si="68"/>
        <v>#N/A</v>
      </c>
      <c r="AS472" s="64" t="e">
        <f t="shared" si="69"/>
        <v>#N/A</v>
      </c>
    </row>
    <row r="473" spans="1:45" s="64" customFormat="1" ht="36" customHeight="1" x14ac:dyDescent="0.9">
      <c r="A473" s="64">
        <v>1</v>
      </c>
      <c r="B473" s="92">
        <f>SUBTOTAL(103,$A$16:A473)</f>
        <v>409</v>
      </c>
      <c r="C473" s="91" t="s">
        <v>1284</v>
      </c>
      <c r="D473" s="126">
        <v>1963</v>
      </c>
      <c r="E473" s="126"/>
      <c r="F473" s="145" t="s">
        <v>273</v>
      </c>
      <c r="G473" s="126">
        <v>2</v>
      </c>
      <c r="H473" s="126">
        <v>2</v>
      </c>
      <c r="I473" s="118">
        <v>626.52</v>
      </c>
      <c r="J473" s="118">
        <v>622.79999999999995</v>
      </c>
      <c r="K473" s="118">
        <v>582.25</v>
      </c>
      <c r="L473" s="127">
        <v>45</v>
      </c>
      <c r="M473" s="126" t="s">
        <v>271</v>
      </c>
      <c r="N473" s="126" t="s">
        <v>275</v>
      </c>
      <c r="O473" s="124" t="s">
        <v>296</v>
      </c>
      <c r="P473" s="118">
        <v>1438516.04</v>
      </c>
      <c r="Q473" s="118">
        <v>0</v>
      </c>
      <c r="R473" s="118">
        <v>0</v>
      </c>
      <c r="S473" s="118">
        <f t="shared" si="70"/>
        <v>1438516.04</v>
      </c>
      <c r="T473" s="118">
        <f t="shared" si="63"/>
        <v>2296.0416906084406</v>
      </c>
      <c r="U473" s="118">
        <v>3697.55</v>
      </c>
      <c r="V473" s="183">
        <f t="shared" si="65"/>
        <v>1401.5083093915596</v>
      </c>
      <c r="W473" s="183"/>
      <c r="X473" s="183"/>
      <c r="Y473" s="64" t="e">
        <f t="shared" si="66"/>
        <v>#N/A</v>
      </c>
      <c r="AA473" s="64" t="e">
        <f t="shared" si="67"/>
        <v>#N/A</v>
      </c>
      <c r="AC473" s="64" t="s">
        <v>100</v>
      </c>
      <c r="AD473" s="64">
        <v>590</v>
      </c>
      <c r="AH473" s="64" t="e">
        <f t="shared" si="68"/>
        <v>#N/A</v>
      </c>
      <c r="AS473" s="64" t="e">
        <f t="shared" si="69"/>
        <v>#N/A</v>
      </c>
    </row>
    <row r="474" spans="1:45" s="64" customFormat="1" ht="36" customHeight="1" x14ac:dyDescent="0.9">
      <c r="A474" s="64">
        <v>1</v>
      </c>
      <c r="B474" s="92">
        <f>SUBTOTAL(103,$A$16:A474)</f>
        <v>410</v>
      </c>
      <c r="C474" s="91" t="s">
        <v>1285</v>
      </c>
      <c r="D474" s="126" t="s">
        <v>314</v>
      </c>
      <c r="E474" s="126"/>
      <c r="F474" s="145" t="s">
        <v>273</v>
      </c>
      <c r="G474" s="126" t="s">
        <v>311</v>
      </c>
      <c r="H474" s="126" t="s">
        <v>311</v>
      </c>
      <c r="I474" s="118">
        <v>1132.77</v>
      </c>
      <c r="J474" s="118">
        <v>555.08000000000004</v>
      </c>
      <c r="K474" s="118">
        <v>555.08000000000004</v>
      </c>
      <c r="L474" s="127">
        <v>42</v>
      </c>
      <c r="M474" s="126" t="s">
        <v>271</v>
      </c>
      <c r="N474" s="126" t="s">
        <v>275</v>
      </c>
      <c r="O474" s="124" t="s">
        <v>296</v>
      </c>
      <c r="P474" s="118">
        <v>1354269.58</v>
      </c>
      <c r="Q474" s="118">
        <v>0</v>
      </c>
      <c r="R474" s="118">
        <v>0</v>
      </c>
      <c r="S474" s="118">
        <f t="shared" si="70"/>
        <v>1354269.58</v>
      </c>
      <c r="T474" s="118">
        <f t="shared" si="63"/>
        <v>1195.5379997704742</v>
      </c>
      <c r="U474" s="118">
        <v>3697.55</v>
      </c>
      <c r="V474" s="183">
        <f t="shared" si="65"/>
        <v>2502.0120002295262</v>
      </c>
      <c r="W474" s="183"/>
      <c r="X474" s="183"/>
      <c r="Y474" s="64" t="e">
        <f t="shared" si="66"/>
        <v>#N/A</v>
      </c>
      <c r="AA474" s="64" t="e">
        <f t="shared" si="67"/>
        <v>#N/A</v>
      </c>
      <c r="AC474" s="64" t="s">
        <v>193</v>
      </c>
      <c r="AD474" s="64">
        <v>696</v>
      </c>
      <c r="AH474" s="64" t="e">
        <f t="shared" si="68"/>
        <v>#N/A</v>
      </c>
      <c r="AS474" s="64" t="e">
        <f t="shared" si="69"/>
        <v>#N/A</v>
      </c>
    </row>
    <row r="475" spans="1:45" s="64" customFormat="1" ht="36" customHeight="1" x14ac:dyDescent="0.9">
      <c r="A475" s="64">
        <v>1</v>
      </c>
      <c r="B475" s="92">
        <f>SUBTOTAL(103,$A$16:A475)</f>
        <v>411</v>
      </c>
      <c r="C475" s="91" t="s">
        <v>1286</v>
      </c>
      <c r="D475" s="126">
        <v>1964</v>
      </c>
      <c r="E475" s="126"/>
      <c r="F475" s="145" t="s">
        <v>273</v>
      </c>
      <c r="G475" s="126">
        <v>2</v>
      </c>
      <c r="H475" s="126">
        <v>4</v>
      </c>
      <c r="I475" s="118">
        <v>768.3</v>
      </c>
      <c r="J475" s="118">
        <v>281.60000000000002</v>
      </c>
      <c r="K475" s="118">
        <v>253.5</v>
      </c>
      <c r="L475" s="127">
        <v>100</v>
      </c>
      <c r="M475" s="126" t="s">
        <v>271</v>
      </c>
      <c r="N475" s="126" t="s">
        <v>275</v>
      </c>
      <c r="O475" s="124" t="s">
        <v>294</v>
      </c>
      <c r="P475" s="118">
        <v>1409084.5899999999</v>
      </c>
      <c r="Q475" s="118">
        <v>0</v>
      </c>
      <c r="R475" s="118">
        <v>0</v>
      </c>
      <c r="S475" s="118">
        <f t="shared" si="70"/>
        <v>1409084.5899999999</v>
      </c>
      <c r="T475" s="118">
        <f t="shared" si="63"/>
        <v>1834.0291422621372</v>
      </c>
      <c r="U475" s="118">
        <v>2753.19</v>
      </c>
      <c r="V475" s="183">
        <f t="shared" si="65"/>
        <v>919.1608577378629</v>
      </c>
      <c r="W475" s="183"/>
      <c r="X475" s="183"/>
      <c r="Y475" s="64" t="e">
        <f t="shared" si="66"/>
        <v>#N/A</v>
      </c>
      <c r="AA475" s="64" t="e">
        <f t="shared" si="67"/>
        <v>#N/A</v>
      </c>
      <c r="AC475" s="64" t="s">
        <v>194</v>
      </c>
      <c r="AD475" s="64">
        <v>510</v>
      </c>
      <c r="AH475" s="64" t="e">
        <f t="shared" si="68"/>
        <v>#N/A</v>
      </c>
      <c r="AS475" s="64" t="e">
        <f t="shared" si="69"/>
        <v>#N/A</v>
      </c>
    </row>
    <row r="476" spans="1:45" s="64" customFormat="1" ht="36" customHeight="1" x14ac:dyDescent="0.9">
      <c r="A476" s="64">
        <v>1</v>
      </c>
      <c r="B476" s="92">
        <f>SUBTOTAL(103,$A$16:A476)</f>
        <v>412</v>
      </c>
      <c r="C476" s="91" t="s">
        <v>1314</v>
      </c>
      <c r="D476" s="126">
        <v>1958</v>
      </c>
      <c r="E476" s="126"/>
      <c r="F476" s="145" t="s">
        <v>273</v>
      </c>
      <c r="G476" s="126">
        <v>2</v>
      </c>
      <c r="H476" s="126">
        <v>2</v>
      </c>
      <c r="I476" s="118">
        <v>554</v>
      </c>
      <c r="J476" s="118">
        <v>554</v>
      </c>
      <c r="K476" s="118">
        <v>521.69000000000005</v>
      </c>
      <c r="L476" s="127">
        <v>30</v>
      </c>
      <c r="M476" s="126" t="s">
        <v>271</v>
      </c>
      <c r="N476" s="126" t="s">
        <v>275</v>
      </c>
      <c r="O476" s="124" t="s">
        <v>294</v>
      </c>
      <c r="P476" s="118">
        <v>2817203.62</v>
      </c>
      <c r="Q476" s="118">
        <v>0</v>
      </c>
      <c r="R476" s="118">
        <v>0</v>
      </c>
      <c r="S476" s="118">
        <f t="shared" si="70"/>
        <v>2817203.62</v>
      </c>
      <c r="T476" s="118">
        <f t="shared" si="63"/>
        <v>5085.205090252708</v>
      </c>
      <c r="U476" s="118">
        <f>T476</f>
        <v>5085.205090252708</v>
      </c>
      <c r="V476" s="183">
        <f t="shared" si="65"/>
        <v>0</v>
      </c>
      <c r="W476" s="183"/>
      <c r="X476" s="183"/>
      <c r="Y476" s="64">
        <f t="shared" si="66"/>
        <v>4712.8158844765339</v>
      </c>
      <c r="AA476" s="64">
        <f t="shared" si="67"/>
        <v>500</v>
      </c>
      <c r="AC476" s="64" t="s">
        <v>197</v>
      </c>
      <c r="AD476" s="64">
        <v>838.33</v>
      </c>
      <c r="AH476" s="64" t="e">
        <f t="shared" si="68"/>
        <v>#N/A</v>
      </c>
      <c r="AS476" s="64" t="e">
        <f t="shared" si="69"/>
        <v>#N/A</v>
      </c>
    </row>
    <row r="477" spans="1:45" s="64" customFormat="1" ht="36" customHeight="1" x14ac:dyDescent="0.9">
      <c r="A477" s="64">
        <v>1</v>
      </c>
      <c r="B477" s="92">
        <f>SUBTOTAL(103,$A$16:A477)</f>
        <v>413</v>
      </c>
      <c r="C477" s="91" t="s">
        <v>1315</v>
      </c>
      <c r="D477" s="126">
        <v>1973</v>
      </c>
      <c r="E477" s="126"/>
      <c r="F477" s="145" t="s">
        <v>273</v>
      </c>
      <c r="G477" s="126">
        <v>5</v>
      </c>
      <c r="H477" s="126">
        <v>3</v>
      </c>
      <c r="I477" s="118">
        <v>3131.46</v>
      </c>
      <c r="J477" s="118">
        <v>3131.28</v>
      </c>
      <c r="K477" s="118">
        <v>3070.48</v>
      </c>
      <c r="L477" s="127">
        <v>208</v>
      </c>
      <c r="M477" s="126" t="s">
        <v>271</v>
      </c>
      <c r="N477" s="126" t="s">
        <v>275</v>
      </c>
      <c r="O477" s="124" t="s">
        <v>1387</v>
      </c>
      <c r="P477" s="118">
        <v>4994309.25</v>
      </c>
      <c r="Q477" s="118">
        <v>0</v>
      </c>
      <c r="R477" s="118">
        <v>0</v>
      </c>
      <c r="S477" s="118">
        <f t="shared" si="70"/>
        <v>4994309.25</v>
      </c>
      <c r="T477" s="118">
        <f t="shared" si="63"/>
        <v>1594.8820198884864</v>
      </c>
      <c r="U477" s="118">
        <f>Y477</f>
        <v>1597.4926711501985</v>
      </c>
      <c r="V477" s="183">
        <f t="shared" si="65"/>
        <v>2.6106512617120643</v>
      </c>
      <c r="W477" s="183"/>
      <c r="X477" s="183"/>
      <c r="Y477" s="64">
        <f t="shared" si="66"/>
        <v>1597.4926711501985</v>
      </c>
      <c r="AA477" s="64">
        <f t="shared" si="67"/>
        <v>958</v>
      </c>
      <c r="AC477" s="64" t="s">
        <v>216</v>
      </c>
      <c r="AD477" s="64">
        <v>1203</v>
      </c>
      <c r="AH477" s="64" t="e">
        <f t="shared" si="68"/>
        <v>#N/A</v>
      </c>
      <c r="AS477" s="64" t="e">
        <f t="shared" si="69"/>
        <v>#N/A</v>
      </c>
    </row>
    <row r="478" spans="1:45" s="64" customFormat="1" ht="36" customHeight="1" x14ac:dyDescent="0.9">
      <c r="A478" s="64">
        <v>1</v>
      </c>
      <c r="B478" s="92">
        <f>SUBTOTAL(103,$A$16:A478)</f>
        <v>414</v>
      </c>
      <c r="C478" s="91" t="s">
        <v>1610</v>
      </c>
      <c r="D478" s="126">
        <v>1961</v>
      </c>
      <c r="E478" s="126"/>
      <c r="F478" s="145" t="s">
        <v>1626</v>
      </c>
      <c r="G478" s="126">
        <v>2</v>
      </c>
      <c r="H478" s="126">
        <v>2</v>
      </c>
      <c r="I478" s="118">
        <v>970.74</v>
      </c>
      <c r="J478" s="118">
        <v>543.79999999999995</v>
      </c>
      <c r="K478" s="118">
        <f>J478</f>
        <v>543.79999999999995</v>
      </c>
      <c r="L478" s="127">
        <v>42</v>
      </c>
      <c r="M478" s="126" t="s">
        <v>271</v>
      </c>
      <c r="N478" s="126" t="s">
        <v>272</v>
      </c>
      <c r="O478" s="124" t="s">
        <v>274</v>
      </c>
      <c r="P478" s="118">
        <v>3228279.17</v>
      </c>
      <c r="Q478" s="118">
        <v>0</v>
      </c>
      <c r="R478" s="118">
        <v>0</v>
      </c>
      <c r="S478" s="118">
        <f>P478-R478-Q478</f>
        <v>3228279.17</v>
      </c>
      <c r="T478" s="118">
        <f t="shared" si="63"/>
        <v>3325.5858108247317</v>
      </c>
      <c r="U478" s="118">
        <f>T478</f>
        <v>3325.5858108247317</v>
      </c>
      <c r="V478" s="183">
        <f t="shared" si="65"/>
        <v>0</v>
      </c>
      <c r="W478" s="183"/>
      <c r="X478" s="183"/>
      <c r="Y478" s="64">
        <f t="shared" si="66"/>
        <v>2820.6348229185983</v>
      </c>
      <c r="AA478" s="64">
        <f t="shared" si="67"/>
        <v>524.36</v>
      </c>
      <c r="AC478" s="64" t="s">
        <v>217</v>
      </c>
      <c r="AD478" s="64">
        <v>584</v>
      </c>
      <c r="AH478" s="64" t="e">
        <f t="shared" si="68"/>
        <v>#N/A</v>
      </c>
      <c r="AS478" s="64" t="e">
        <f t="shared" si="69"/>
        <v>#N/A</v>
      </c>
    </row>
    <row r="479" spans="1:45" s="64" customFormat="1" ht="36" customHeight="1" x14ac:dyDescent="0.9">
      <c r="A479" s="64">
        <v>1</v>
      </c>
      <c r="B479" s="92">
        <f>SUBTOTAL(103,$A$16:A479)</f>
        <v>415</v>
      </c>
      <c r="C479" s="91" t="s">
        <v>153</v>
      </c>
      <c r="D479" s="126">
        <v>1983</v>
      </c>
      <c r="E479" s="126"/>
      <c r="F479" s="145" t="s">
        <v>293</v>
      </c>
      <c r="G479" s="126">
        <v>5</v>
      </c>
      <c r="H479" s="126">
        <v>4</v>
      </c>
      <c r="I479" s="117">
        <v>4333.8</v>
      </c>
      <c r="J479" s="117">
        <v>1755.3</v>
      </c>
      <c r="K479" s="117">
        <v>1755.3</v>
      </c>
      <c r="L479" s="127">
        <v>123</v>
      </c>
      <c r="M479" s="126" t="s">
        <v>271</v>
      </c>
      <c r="N479" s="126" t="s">
        <v>275</v>
      </c>
      <c r="O479" s="124" t="s">
        <v>299</v>
      </c>
      <c r="P479" s="118">
        <v>5184797.5</v>
      </c>
      <c r="Q479" s="118">
        <v>0</v>
      </c>
      <c r="R479" s="118">
        <v>0</v>
      </c>
      <c r="S479" s="118">
        <f>P479-Q479-R479</f>
        <v>5184797.5</v>
      </c>
      <c r="T479" s="118">
        <f t="shared" si="63"/>
        <v>1196.3628916885873</v>
      </c>
      <c r="U479" s="118">
        <f>T479</f>
        <v>1196.3628916885873</v>
      </c>
      <c r="V479" s="183">
        <f t="shared" si="65"/>
        <v>0</v>
      </c>
      <c r="W479" s="183"/>
      <c r="X479" s="183"/>
      <c r="Y479" s="64">
        <f t="shared" si="66"/>
        <v>1004.7669527896996</v>
      </c>
      <c r="AA479" s="64">
        <f t="shared" si="67"/>
        <v>833.9</v>
      </c>
      <c r="AC479" s="64" t="s">
        <v>229</v>
      </c>
      <c r="AD479" s="64">
        <v>686</v>
      </c>
      <c r="AH479" s="64" t="e">
        <f t="shared" si="68"/>
        <v>#N/A</v>
      </c>
      <c r="AS479" s="64" t="e">
        <f t="shared" si="69"/>
        <v>#N/A</v>
      </c>
    </row>
    <row r="480" spans="1:45" s="64" customFormat="1" ht="36" customHeight="1" x14ac:dyDescent="0.9">
      <c r="A480" s="64">
        <v>1</v>
      </c>
      <c r="B480" s="92">
        <f>SUBTOTAL(103,$A$16:A480)</f>
        <v>416</v>
      </c>
      <c r="C480" s="91" t="s">
        <v>154</v>
      </c>
      <c r="D480" s="126">
        <v>1985</v>
      </c>
      <c r="E480" s="126"/>
      <c r="F480" s="145" t="s">
        <v>293</v>
      </c>
      <c r="G480" s="126">
        <v>5</v>
      </c>
      <c r="H480" s="126">
        <v>5</v>
      </c>
      <c r="I480" s="117">
        <v>5376.4</v>
      </c>
      <c r="J480" s="117">
        <v>2229.5</v>
      </c>
      <c r="K480" s="117">
        <v>22225.4</v>
      </c>
      <c r="L480" s="127">
        <v>149</v>
      </c>
      <c r="M480" s="126" t="s">
        <v>271</v>
      </c>
      <c r="N480" s="126" t="s">
        <v>275</v>
      </c>
      <c r="O480" s="124" t="s">
        <v>299</v>
      </c>
      <c r="P480" s="118">
        <v>6848757.5199999996</v>
      </c>
      <c r="Q480" s="118">
        <v>0</v>
      </c>
      <c r="R480" s="118">
        <v>0</v>
      </c>
      <c r="S480" s="118">
        <f>P480-Q480-R480</f>
        <v>6848757.5199999996</v>
      </c>
      <c r="T480" s="118">
        <f t="shared" si="63"/>
        <v>1273.8556506212335</v>
      </c>
      <c r="U480" s="118">
        <f>T480</f>
        <v>1273.8556506212335</v>
      </c>
      <c r="V480" s="183">
        <f t="shared" si="65"/>
        <v>0</v>
      </c>
      <c r="W480" s="183"/>
      <c r="X480" s="183"/>
      <c r="Y480" s="64">
        <f t="shared" si="66"/>
        <v>1006.1123837512092</v>
      </c>
      <c r="AA480" s="64">
        <f t="shared" si="67"/>
        <v>1035.9000000000001</v>
      </c>
      <c r="AC480" s="64" t="s">
        <v>223</v>
      </c>
      <c r="AD480" s="64">
        <v>633.4</v>
      </c>
      <c r="AH480" s="64" t="e">
        <f t="shared" si="68"/>
        <v>#N/A</v>
      </c>
      <c r="AS480" s="64" t="e">
        <f t="shared" si="69"/>
        <v>#N/A</v>
      </c>
    </row>
    <row r="481" spans="1:45" s="64" customFormat="1" ht="36" customHeight="1" x14ac:dyDescent="0.9">
      <c r="B481" s="91" t="s">
        <v>878</v>
      </c>
      <c r="C481" s="91"/>
      <c r="D481" s="126" t="s">
        <v>916</v>
      </c>
      <c r="E481" s="126" t="s">
        <v>916</v>
      </c>
      <c r="F481" s="126" t="s">
        <v>916</v>
      </c>
      <c r="G481" s="126" t="s">
        <v>916</v>
      </c>
      <c r="H481" s="126" t="s">
        <v>916</v>
      </c>
      <c r="I481" s="117">
        <f>SUM(I482:I489)</f>
        <v>33276.850000000006</v>
      </c>
      <c r="J481" s="117">
        <f>SUM(J482:J489)</f>
        <v>22191.000000000004</v>
      </c>
      <c r="K481" s="117">
        <f>SUM(K482:K489)</f>
        <v>19832.54</v>
      </c>
      <c r="L481" s="127">
        <f>SUM(L482:L489)</f>
        <v>1281</v>
      </c>
      <c r="M481" s="126" t="s">
        <v>916</v>
      </c>
      <c r="N481" s="126" t="s">
        <v>916</v>
      </c>
      <c r="O481" s="124" t="s">
        <v>916</v>
      </c>
      <c r="P481" s="118">
        <v>38327194.07</v>
      </c>
      <c r="Q481" s="118">
        <f>SUM(Q482:Q489)</f>
        <v>0</v>
      </c>
      <c r="R481" s="118">
        <f>SUM(R482:R489)</f>
        <v>0</v>
      </c>
      <c r="S481" s="118">
        <f>SUM(S482:S489)</f>
        <v>38327194.07</v>
      </c>
      <c r="T481" s="118">
        <f t="shared" si="63"/>
        <v>1151.7674921153894</v>
      </c>
      <c r="U481" s="118">
        <f>MAX(U482:U489)</f>
        <v>4952.0159629248192</v>
      </c>
      <c r="V481" s="183">
        <f t="shared" si="65"/>
        <v>3800.2484708094298</v>
      </c>
      <c r="W481" s="183"/>
      <c r="X481" s="183"/>
      <c r="Y481" s="64" t="e">
        <f t="shared" si="66"/>
        <v>#N/A</v>
      </c>
      <c r="AA481" s="64" t="e">
        <f t="shared" si="67"/>
        <v>#N/A</v>
      </c>
      <c r="AC481" s="64" t="s">
        <v>580</v>
      </c>
      <c r="AD481" s="64">
        <v>736</v>
      </c>
      <c r="AH481" s="64" t="e">
        <f t="shared" si="68"/>
        <v>#N/A</v>
      </c>
      <c r="AS481" s="64" t="e">
        <f t="shared" si="69"/>
        <v>#N/A</v>
      </c>
    </row>
    <row r="482" spans="1:45" s="64" customFormat="1" ht="36" customHeight="1" x14ac:dyDescent="0.9">
      <c r="A482" s="64">
        <v>1</v>
      </c>
      <c r="B482" s="92">
        <f>SUBTOTAL(103,$A$16:A482)</f>
        <v>417</v>
      </c>
      <c r="C482" s="91" t="s">
        <v>138</v>
      </c>
      <c r="D482" s="126">
        <v>1982</v>
      </c>
      <c r="E482" s="126"/>
      <c r="F482" s="145" t="s">
        <v>273</v>
      </c>
      <c r="G482" s="126">
        <v>5</v>
      </c>
      <c r="H482" s="126">
        <v>6</v>
      </c>
      <c r="I482" s="118">
        <v>3868.3</v>
      </c>
      <c r="J482" s="118">
        <v>2289.6</v>
      </c>
      <c r="K482" s="118">
        <v>2289.6</v>
      </c>
      <c r="L482" s="127">
        <v>192</v>
      </c>
      <c r="M482" s="126" t="s">
        <v>271</v>
      </c>
      <c r="N482" s="126" t="s">
        <v>297</v>
      </c>
      <c r="O482" s="124" t="s">
        <v>309</v>
      </c>
      <c r="P482" s="118">
        <v>6331416.2400000002</v>
      </c>
      <c r="Q482" s="118">
        <v>0</v>
      </c>
      <c r="R482" s="118">
        <v>0</v>
      </c>
      <c r="S482" s="118">
        <f t="shared" ref="S482:S489" si="71">P482-Q482-R482</f>
        <v>6331416.2400000002</v>
      </c>
      <c r="T482" s="118">
        <f t="shared" si="63"/>
        <v>1636.7438513041905</v>
      </c>
      <c r="U482" s="118">
        <f>T482</f>
        <v>1636.7438513041905</v>
      </c>
      <c r="V482" s="183">
        <f t="shared" si="65"/>
        <v>0</v>
      </c>
      <c r="W482" s="183"/>
      <c r="X482" s="183"/>
      <c r="Y482" s="64">
        <f t="shared" si="66"/>
        <v>1434.1287697438152</v>
      </c>
      <c r="AA482" s="64">
        <f t="shared" si="67"/>
        <v>1062.4000000000001</v>
      </c>
      <c r="AC482" s="64" t="s">
        <v>581</v>
      </c>
      <c r="AD482" s="64">
        <v>230</v>
      </c>
      <c r="AH482" s="64" t="e">
        <f t="shared" si="68"/>
        <v>#N/A</v>
      </c>
      <c r="AS482" s="64" t="e">
        <f t="shared" si="69"/>
        <v>#N/A</v>
      </c>
    </row>
    <row r="483" spans="1:45" s="64" customFormat="1" ht="36" customHeight="1" x14ac:dyDescent="0.9">
      <c r="A483" s="64">
        <v>1</v>
      </c>
      <c r="B483" s="92">
        <f>SUBTOTAL(103,$A$16:A483)</f>
        <v>418</v>
      </c>
      <c r="C483" s="91" t="s">
        <v>140</v>
      </c>
      <c r="D483" s="126">
        <v>1964</v>
      </c>
      <c r="E483" s="126"/>
      <c r="F483" s="145" t="s">
        <v>273</v>
      </c>
      <c r="G483" s="126">
        <v>4</v>
      </c>
      <c r="H483" s="126">
        <v>2</v>
      </c>
      <c r="I483" s="118">
        <v>2499.9</v>
      </c>
      <c r="J483" s="118">
        <v>2061.5</v>
      </c>
      <c r="K483" s="118">
        <v>2061.5</v>
      </c>
      <c r="L483" s="127">
        <v>75</v>
      </c>
      <c r="M483" s="126" t="s">
        <v>271</v>
      </c>
      <c r="N483" s="126" t="s">
        <v>297</v>
      </c>
      <c r="O483" s="124" t="s">
        <v>298</v>
      </c>
      <c r="P483" s="118">
        <v>2412628.25</v>
      </c>
      <c r="Q483" s="118">
        <v>0</v>
      </c>
      <c r="R483" s="118">
        <v>0</v>
      </c>
      <c r="S483" s="118">
        <f t="shared" si="71"/>
        <v>2412628.25</v>
      </c>
      <c r="T483" s="118">
        <f t="shared" si="63"/>
        <v>965.08990359614381</v>
      </c>
      <c r="U483" s="118">
        <f>Y483</f>
        <v>965.08990519620772</v>
      </c>
      <c r="V483" s="183">
        <f t="shared" si="65"/>
        <v>1.6000639107005554E-6</v>
      </c>
      <c r="W483" s="183"/>
      <c r="X483" s="183"/>
      <c r="Y483" s="64">
        <f t="shared" si="66"/>
        <v>965.08990519620772</v>
      </c>
      <c r="AA483" s="64">
        <f t="shared" si="67"/>
        <v>462.03</v>
      </c>
      <c r="AC483" s="64" t="s">
        <v>1096</v>
      </c>
      <c r="AD483" s="64">
        <v>412</v>
      </c>
      <c r="AH483" s="64" t="e">
        <f t="shared" si="68"/>
        <v>#N/A</v>
      </c>
      <c r="AS483" s="64" t="e">
        <f t="shared" si="69"/>
        <v>#N/A</v>
      </c>
    </row>
    <row r="484" spans="1:45" s="64" customFormat="1" ht="36" customHeight="1" x14ac:dyDescent="0.9">
      <c r="A484" s="64">
        <v>1</v>
      </c>
      <c r="B484" s="92">
        <f>SUBTOTAL(103,$A$16:A484)</f>
        <v>419</v>
      </c>
      <c r="C484" s="91" t="s">
        <v>149</v>
      </c>
      <c r="D484" s="126">
        <v>1972</v>
      </c>
      <c r="E484" s="126"/>
      <c r="F484" s="145" t="s">
        <v>273</v>
      </c>
      <c r="G484" s="126">
        <v>5</v>
      </c>
      <c r="H484" s="126">
        <v>8</v>
      </c>
      <c r="I484" s="118">
        <v>8090.9</v>
      </c>
      <c r="J484" s="118">
        <v>6096.3</v>
      </c>
      <c r="K484" s="118">
        <v>5723.68</v>
      </c>
      <c r="L484" s="127">
        <v>307</v>
      </c>
      <c r="M484" s="126" t="s">
        <v>271</v>
      </c>
      <c r="N484" s="126" t="s">
        <v>275</v>
      </c>
      <c r="O484" s="124" t="s">
        <v>300</v>
      </c>
      <c r="P484" s="118">
        <v>8689284.0800000001</v>
      </c>
      <c r="Q484" s="118">
        <v>0</v>
      </c>
      <c r="R484" s="118">
        <v>0</v>
      </c>
      <c r="S484" s="118">
        <f t="shared" si="71"/>
        <v>8689284.0800000001</v>
      </c>
      <c r="T484" s="118">
        <f t="shared" si="63"/>
        <v>1073.9576660198495</v>
      </c>
      <c r="U484" s="118">
        <f>Y484</f>
        <v>1073.9576650310844</v>
      </c>
      <c r="V484" s="183">
        <f t="shared" si="65"/>
        <v>-9.8876512311107945E-7</v>
      </c>
      <c r="W484" s="183"/>
      <c r="X484" s="183"/>
      <c r="Y484" s="64">
        <f t="shared" si="66"/>
        <v>1073.9576650310844</v>
      </c>
      <c r="AA484" s="64">
        <f t="shared" si="67"/>
        <v>1664.04</v>
      </c>
      <c r="AC484" s="64" t="s">
        <v>582</v>
      </c>
      <c r="AD484" s="64">
        <v>722</v>
      </c>
      <c r="AH484" s="64" t="e">
        <f t="shared" si="68"/>
        <v>#N/A</v>
      </c>
      <c r="AS484" s="64" t="e">
        <f t="shared" si="69"/>
        <v>#N/A</v>
      </c>
    </row>
    <row r="485" spans="1:45" s="64" customFormat="1" ht="36" customHeight="1" x14ac:dyDescent="0.9">
      <c r="A485" s="64">
        <v>1</v>
      </c>
      <c r="B485" s="92">
        <f>SUBTOTAL(103,$A$16:A485)</f>
        <v>420</v>
      </c>
      <c r="C485" s="91" t="s">
        <v>1289</v>
      </c>
      <c r="D485" s="126">
        <v>1928</v>
      </c>
      <c r="E485" s="126"/>
      <c r="F485" s="145" t="s">
        <v>273</v>
      </c>
      <c r="G485" s="126">
        <v>3</v>
      </c>
      <c r="H485" s="126">
        <v>4</v>
      </c>
      <c r="I485" s="118">
        <v>1165.2</v>
      </c>
      <c r="J485" s="118">
        <v>998.7</v>
      </c>
      <c r="K485" s="118">
        <v>538.29999999999995</v>
      </c>
      <c r="L485" s="127">
        <v>72</v>
      </c>
      <c r="M485" s="126" t="s">
        <v>271</v>
      </c>
      <c r="N485" s="126" t="s">
        <v>275</v>
      </c>
      <c r="O485" s="124" t="s">
        <v>294</v>
      </c>
      <c r="P485" s="118">
        <v>4735462.9799999995</v>
      </c>
      <c r="Q485" s="118">
        <v>0</v>
      </c>
      <c r="R485" s="118">
        <v>0</v>
      </c>
      <c r="S485" s="118">
        <f t="shared" si="71"/>
        <v>4735462.9799999995</v>
      </c>
      <c r="T485" s="118">
        <f t="shared" si="63"/>
        <v>4064.0773944387224</v>
      </c>
      <c r="U485" s="118">
        <f>Y485</f>
        <v>4952.0159629248192</v>
      </c>
      <c r="V485" s="183">
        <f t="shared" si="65"/>
        <v>887.93856848609676</v>
      </c>
      <c r="W485" s="183"/>
      <c r="X485" s="183"/>
      <c r="Y485" s="64">
        <f t="shared" si="66"/>
        <v>4952.0159629248192</v>
      </c>
      <c r="AA485" s="64">
        <f t="shared" si="67"/>
        <v>1105</v>
      </c>
      <c r="AC485" s="64" t="s">
        <v>583</v>
      </c>
      <c r="AD485" s="64">
        <v>351</v>
      </c>
      <c r="AH485" s="64" t="e">
        <f t="shared" si="68"/>
        <v>#N/A</v>
      </c>
      <c r="AS485" s="64" t="e">
        <f t="shared" si="69"/>
        <v>#N/A</v>
      </c>
    </row>
    <row r="486" spans="1:45" s="64" customFormat="1" ht="36" customHeight="1" x14ac:dyDescent="0.9">
      <c r="A486" s="64">
        <v>1</v>
      </c>
      <c r="B486" s="92">
        <f>SUBTOTAL(103,$A$16:A486)</f>
        <v>421</v>
      </c>
      <c r="C486" s="91" t="s">
        <v>1290</v>
      </c>
      <c r="D486" s="126">
        <v>1962</v>
      </c>
      <c r="E486" s="126"/>
      <c r="F486" s="145" t="s">
        <v>273</v>
      </c>
      <c r="G486" s="126">
        <v>3</v>
      </c>
      <c r="H486" s="126">
        <v>3</v>
      </c>
      <c r="I486" s="118">
        <v>1520.41</v>
      </c>
      <c r="J486" s="118">
        <v>903.54</v>
      </c>
      <c r="K486" s="118">
        <v>226.5</v>
      </c>
      <c r="L486" s="127">
        <v>135</v>
      </c>
      <c r="M486" s="126" t="s">
        <v>271</v>
      </c>
      <c r="N486" s="126" t="s">
        <v>275</v>
      </c>
      <c r="O486" s="124" t="s">
        <v>1368</v>
      </c>
      <c r="P486" s="118">
        <v>4455121.7300000004</v>
      </c>
      <c r="Q486" s="118">
        <v>0</v>
      </c>
      <c r="R486" s="118">
        <v>0</v>
      </c>
      <c r="S486" s="118">
        <f t="shared" si="71"/>
        <v>4455121.7300000004</v>
      </c>
      <c r="T486" s="118">
        <f t="shared" si="63"/>
        <v>2930.2107523628497</v>
      </c>
      <c r="U486" s="118">
        <f>T486</f>
        <v>2930.2107523628497</v>
      </c>
      <c r="V486" s="183">
        <f t="shared" si="65"/>
        <v>0</v>
      </c>
      <c r="W486" s="183"/>
      <c r="X486" s="183"/>
      <c r="Y486" s="64">
        <f t="shared" si="66"/>
        <v>2869.2578804401442</v>
      </c>
      <c r="AA486" s="64">
        <f t="shared" si="67"/>
        <v>835.43</v>
      </c>
      <c r="AC486" s="64" t="s">
        <v>584</v>
      </c>
      <c r="AD486" s="64">
        <v>1200</v>
      </c>
      <c r="AH486" s="64" t="e">
        <f t="shared" si="68"/>
        <v>#N/A</v>
      </c>
      <c r="AS486" s="64" t="e">
        <f t="shared" si="69"/>
        <v>#N/A</v>
      </c>
    </row>
    <row r="487" spans="1:45" s="64" customFormat="1" ht="36" customHeight="1" x14ac:dyDescent="0.9">
      <c r="A487" s="64">
        <v>1</v>
      </c>
      <c r="B487" s="92">
        <f>SUBTOTAL(103,$A$16:A487)</f>
        <v>422</v>
      </c>
      <c r="C487" s="91" t="s">
        <v>1291</v>
      </c>
      <c r="D487" s="126">
        <v>1970</v>
      </c>
      <c r="E487" s="126"/>
      <c r="F487" s="145" t="s">
        <v>273</v>
      </c>
      <c r="G487" s="126">
        <v>5</v>
      </c>
      <c r="H487" s="126">
        <v>6</v>
      </c>
      <c r="I487" s="118">
        <v>7597.16</v>
      </c>
      <c r="J487" s="118">
        <v>4459.3599999999997</v>
      </c>
      <c r="K487" s="118">
        <v>4120.66</v>
      </c>
      <c r="L487" s="127">
        <v>224</v>
      </c>
      <c r="M487" s="126" t="s">
        <v>271</v>
      </c>
      <c r="N487" s="126" t="s">
        <v>275</v>
      </c>
      <c r="O487" s="124" t="s">
        <v>1369</v>
      </c>
      <c r="P487" s="118">
        <v>7031127.6799999997</v>
      </c>
      <c r="Q487" s="118">
        <v>0</v>
      </c>
      <c r="R487" s="118">
        <v>0</v>
      </c>
      <c r="S487" s="118">
        <f t="shared" si="71"/>
        <v>7031127.6799999997</v>
      </c>
      <c r="T487" s="118">
        <f t="shared" si="63"/>
        <v>925.49422152488557</v>
      </c>
      <c r="U487" s="118">
        <f>Y487</f>
        <v>963.23238157416722</v>
      </c>
      <c r="V487" s="183">
        <f t="shared" si="65"/>
        <v>37.738160049281646</v>
      </c>
      <c r="W487" s="183"/>
      <c r="X487" s="183"/>
      <c r="Y487" s="64">
        <f t="shared" si="66"/>
        <v>963.23238157416722</v>
      </c>
      <c r="AA487" s="64">
        <f t="shared" si="67"/>
        <v>1401.4</v>
      </c>
      <c r="AC487" s="64" t="s">
        <v>585</v>
      </c>
      <c r="AD487" s="64">
        <v>420</v>
      </c>
      <c r="AH487" s="64" t="e">
        <f t="shared" si="68"/>
        <v>#N/A</v>
      </c>
      <c r="AS487" s="64" t="e">
        <f t="shared" si="69"/>
        <v>#N/A</v>
      </c>
    </row>
    <row r="488" spans="1:45" s="64" customFormat="1" ht="36" customHeight="1" x14ac:dyDescent="0.9">
      <c r="A488" s="64">
        <v>1</v>
      </c>
      <c r="B488" s="92">
        <f>SUBTOTAL(103,$A$16:A488)</f>
        <v>423</v>
      </c>
      <c r="C488" s="91" t="s">
        <v>170</v>
      </c>
      <c r="D488" s="126">
        <v>1966</v>
      </c>
      <c r="E488" s="126"/>
      <c r="F488" s="145" t="s">
        <v>273</v>
      </c>
      <c r="G488" s="126">
        <v>4</v>
      </c>
      <c r="H488" s="126">
        <v>2</v>
      </c>
      <c r="I488" s="118">
        <v>1285.3</v>
      </c>
      <c r="J488" s="118">
        <v>836.8</v>
      </c>
      <c r="K488" s="118">
        <v>836.8</v>
      </c>
      <c r="L488" s="127">
        <v>76</v>
      </c>
      <c r="M488" s="126" t="s">
        <v>271</v>
      </c>
      <c r="N488" s="126" t="s">
        <v>297</v>
      </c>
      <c r="O488" s="124" t="s">
        <v>308</v>
      </c>
      <c r="P488" s="118">
        <v>646262.4</v>
      </c>
      <c r="Q488" s="118">
        <v>0</v>
      </c>
      <c r="R488" s="118">
        <v>0</v>
      </c>
      <c r="S488" s="118">
        <f t="shared" si="71"/>
        <v>646262.4</v>
      </c>
      <c r="T488" s="118">
        <f t="shared" si="63"/>
        <v>502.81055006613246</v>
      </c>
      <c r="U488" s="118">
        <v>1280.3575196452191</v>
      </c>
      <c r="V488" s="183">
        <f t="shared" si="65"/>
        <v>777.54696957908664</v>
      </c>
      <c r="W488" s="183"/>
      <c r="X488" s="183"/>
      <c r="Y488" s="64" t="e">
        <f t="shared" si="66"/>
        <v>#N/A</v>
      </c>
      <c r="AA488" s="64" t="e">
        <f t="shared" si="67"/>
        <v>#N/A</v>
      </c>
      <c r="AC488" s="64" t="s">
        <v>586</v>
      </c>
      <c r="AD488" s="64">
        <v>593</v>
      </c>
      <c r="AH488" s="64" t="e">
        <f t="shared" si="68"/>
        <v>#N/A</v>
      </c>
      <c r="AS488" s="64" t="e">
        <f t="shared" si="69"/>
        <v>#N/A</v>
      </c>
    </row>
    <row r="489" spans="1:45" s="64" customFormat="1" ht="36" customHeight="1" x14ac:dyDescent="0.9">
      <c r="A489" s="64">
        <v>1</v>
      </c>
      <c r="B489" s="92">
        <f>SUBTOTAL(103,$A$16:A489)</f>
        <v>424</v>
      </c>
      <c r="C489" s="91" t="s">
        <v>1313</v>
      </c>
      <c r="D489" s="126">
        <v>1983</v>
      </c>
      <c r="E489" s="126"/>
      <c r="F489" s="145" t="s">
        <v>273</v>
      </c>
      <c r="G489" s="126">
        <v>5</v>
      </c>
      <c r="H489" s="126">
        <v>6</v>
      </c>
      <c r="I489" s="118">
        <v>7249.68</v>
      </c>
      <c r="J489" s="118">
        <v>4545.2</v>
      </c>
      <c r="K489" s="118">
        <v>4035.5</v>
      </c>
      <c r="L489" s="127">
        <v>200</v>
      </c>
      <c r="M489" s="126" t="s">
        <v>271</v>
      </c>
      <c r="N489" s="126" t="s">
        <v>349</v>
      </c>
      <c r="O489" s="124" t="s">
        <v>1388</v>
      </c>
      <c r="P489" s="118">
        <v>4025890.71</v>
      </c>
      <c r="Q489" s="118">
        <v>0</v>
      </c>
      <c r="R489" s="118">
        <v>0</v>
      </c>
      <c r="S489" s="118">
        <f t="shared" si="71"/>
        <v>4025890.71</v>
      </c>
      <c r="T489" s="118">
        <f t="shared" si="63"/>
        <v>555.31978101102391</v>
      </c>
      <c r="U489" s="118">
        <v>2753.19</v>
      </c>
      <c r="V489" s="183">
        <f t="shared" si="65"/>
        <v>2197.8702189889764</v>
      </c>
      <c r="W489" s="183"/>
      <c r="X489" s="183"/>
      <c r="Y489" s="64" t="e">
        <f t="shared" si="66"/>
        <v>#N/A</v>
      </c>
      <c r="AA489" s="64" t="e">
        <f t="shared" si="67"/>
        <v>#N/A</v>
      </c>
      <c r="AC489" s="64" t="s">
        <v>1682</v>
      </c>
      <c r="AD489" s="64">
        <v>559</v>
      </c>
      <c r="AH489" s="64" t="e">
        <f t="shared" si="68"/>
        <v>#N/A</v>
      </c>
      <c r="AS489" s="64" t="e">
        <f t="shared" si="69"/>
        <v>#N/A</v>
      </c>
    </row>
    <row r="490" spans="1:45" s="64" customFormat="1" ht="36" customHeight="1" x14ac:dyDescent="0.9">
      <c r="B490" s="91" t="s">
        <v>1287</v>
      </c>
      <c r="C490" s="91"/>
      <c r="D490" s="126" t="s">
        <v>916</v>
      </c>
      <c r="E490" s="126" t="s">
        <v>916</v>
      </c>
      <c r="F490" s="126" t="s">
        <v>916</v>
      </c>
      <c r="G490" s="126" t="s">
        <v>916</v>
      </c>
      <c r="H490" s="126" t="s">
        <v>916</v>
      </c>
      <c r="I490" s="117">
        <f>SUM(I491:I491)</f>
        <v>720.74</v>
      </c>
      <c r="J490" s="117">
        <f>SUM(J491:J491)</f>
        <v>680.3</v>
      </c>
      <c r="K490" s="117">
        <f>SUM(K491:K491)</f>
        <v>515.4</v>
      </c>
      <c r="L490" s="127">
        <f>SUM(L491:L491)</f>
        <v>19</v>
      </c>
      <c r="M490" s="126" t="s">
        <v>916</v>
      </c>
      <c r="N490" s="126" t="s">
        <v>916</v>
      </c>
      <c r="O490" s="124" t="s">
        <v>916</v>
      </c>
      <c r="P490" s="118">
        <v>2298882.5099999998</v>
      </c>
      <c r="Q490" s="118">
        <f>Q491</f>
        <v>0</v>
      </c>
      <c r="R490" s="118">
        <f>R491</f>
        <v>0</v>
      </c>
      <c r="S490" s="118">
        <f>S491</f>
        <v>2298882.5099999998</v>
      </c>
      <c r="T490" s="118">
        <f t="shared" si="63"/>
        <v>3189.6141604462077</v>
      </c>
      <c r="U490" s="118">
        <f>U491</f>
        <v>3388.8014152121436</v>
      </c>
      <c r="V490" s="183">
        <f t="shared" si="65"/>
        <v>199.1872547659359</v>
      </c>
      <c r="W490" s="183"/>
      <c r="X490" s="183"/>
      <c r="Y490" s="64" t="e">
        <f t="shared" si="66"/>
        <v>#N/A</v>
      </c>
      <c r="AA490" s="64" t="e">
        <f t="shared" si="67"/>
        <v>#N/A</v>
      </c>
      <c r="AC490" s="64" t="s">
        <v>587</v>
      </c>
      <c r="AD490" s="64">
        <v>794</v>
      </c>
      <c r="AH490" s="64" t="e">
        <f t="shared" si="68"/>
        <v>#N/A</v>
      </c>
      <c r="AS490" s="64" t="e">
        <f t="shared" si="69"/>
        <v>#N/A</v>
      </c>
    </row>
    <row r="491" spans="1:45" s="64" customFormat="1" ht="36" customHeight="1" x14ac:dyDescent="0.9">
      <c r="A491" s="64">
        <v>1</v>
      </c>
      <c r="B491" s="92">
        <f>SUBTOTAL(103,$A$16:A491)</f>
        <v>425</v>
      </c>
      <c r="C491" s="91" t="s">
        <v>1288</v>
      </c>
      <c r="D491" s="126">
        <v>1976</v>
      </c>
      <c r="E491" s="126"/>
      <c r="F491" s="145" t="s">
        <v>273</v>
      </c>
      <c r="G491" s="126">
        <v>2</v>
      </c>
      <c r="H491" s="126">
        <v>1</v>
      </c>
      <c r="I491" s="118">
        <v>720.74</v>
      </c>
      <c r="J491" s="118">
        <v>680.3</v>
      </c>
      <c r="K491" s="118">
        <v>515.4</v>
      </c>
      <c r="L491" s="127">
        <v>19</v>
      </c>
      <c r="M491" s="126" t="s">
        <v>271</v>
      </c>
      <c r="N491" s="126" t="s">
        <v>275</v>
      </c>
      <c r="O491" s="124" t="s">
        <v>294</v>
      </c>
      <c r="P491" s="118">
        <v>2298882.5099999998</v>
      </c>
      <c r="Q491" s="118">
        <v>0</v>
      </c>
      <c r="R491" s="118">
        <v>0</v>
      </c>
      <c r="S491" s="118">
        <f>P491-Q491-R491</f>
        <v>2298882.5099999998</v>
      </c>
      <c r="T491" s="118">
        <f t="shared" si="63"/>
        <v>3189.6141604462077</v>
      </c>
      <c r="U491" s="118">
        <f>Y491</f>
        <v>3388.8014152121436</v>
      </c>
      <c r="V491" s="183">
        <f t="shared" si="65"/>
        <v>199.1872547659359</v>
      </c>
      <c r="W491" s="183"/>
      <c r="X491" s="183"/>
      <c r="Y491" s="64">
        <f t="shared" si="66"/>
        <v>3388.8014152121436</v>
      </c>
      <c r="AA491" s="64">
        <f t="shared" si="67"/>
        <v>467.74</v>
      </c>
      <c r="AC491" s="64" t="s">
        <v>1683</v>
      </c>
      <c r="AD491" s="64">
        <v>1338</v>
      </c>
      <c r="AH491" s="64" t="e">
        <f t="shared" si="68"/>
        <v>#N/A</v>
      </c>
      <c r="AS491" s="64" t="e">
        <f t="shared" si="69"/>
        <v>#N/A</v>
      </c>
    </row>
    <row r="492" spans="1:45" s="64" customFormat="1" ht="36" customHeight="1" x14ac:dyDescent="0.9">
      <c r="B492" s="91" t="s">
        <v>1077</v>
      </c>
      <c r="C492" s="91"/>
      <c r="D492" s="126" t="s">
        <v>916</v>
      </c>
      <c r="E492" s="126" t="s">
        <v>916</v>
      </c>
      <c r="F492" s="126" t="s">
        <v>916</v>
      </c>
      <c r="G492" s="126" t="s">
        <v>916</v>
      </c>
      <c r="H492" s="126" t="s">
        <v>916</v>
      </c>
      <c r="I492" s="117">
        <f>I493</f>
        <v>970.5</v>
      </c>
      <c r="J492" s="117">
        <f>J493</f>
        <v>874</v>
      </c>
      <c r="K492" s="117">
        <f>K493</f>
        <v>786.4</v>
      </c>
      <c r="L492" s="127">
        <f>L493</f>
        <v>38</v>
      </c>
      <c r="M492" s="126" t="s">
        <v>916</v>
      </c>
      <c r="N492" s="126" t="s">
        <v>916</v>
      </c>
      <c r="O492" s="124" t="s">
        <v>916</v>
      </c>
      <c r="P492" s="118">
        <v>467593.97</v>
      </c>
      <c r="Q492" s="118">
        <f>Q493</f>
        <v>0</v>
      </c>
      <c r="R492" s="118">
        <f>R493</f>
        <v>0</v>
      </c>
      <c r="S492" s="118">
        <f>S493</f>
        <v>467593.97</v>
      </c>
      <c r="T492" s="118">
        <f t="shared" si="63"/>
        <v>481.80728490468829</v>
      </c>
      <c r="U492" s="118">
        <f>U493</f>
        <v>845.09717620137292</v>
      </c>
      <c r="V492" s="183">
        <f t="shared" si="65"/>
        <v>363.28989129668463</v>
      </c>
      <c r="W492" s="183"/>
      <c r="X492" s="183"/>
      <c r="Y492" s="64" t="e">
        <f t="shared" si="66"/>
        <v>#N/A</v>
      </c>
      <c r="AA492" s="64" t="e">
        <f t="shared" si="67"/>
        <v>#N/A</v>
      </c>
      <c r="AC492" s="64" t="s">
        <v>588</v>
      </c>
      <c r="AD492" s="64">
        <v>760.2</v>
      </c>
      <c r="AH492" s="64" t="e">
        <f t="shared" si="68"/>
        <v>#N/A</v>
      </c>
      <c r="AS492" s="64" t="e">
        <f t="shared" si="69"/>
        <v>#N/A</v>
      </c>
    </row>
    <row r="493" spans="1:45" s="64" customFormat="1" ht="36" customHeight="1" x14ac:dyDescent="0.9">
      <c r="A493" s="64">
        <v>1</v>
      </c>
      <c r="B493" s="92">
        <f>SUBTOTAL(103,$A$16:A493)</f>
        <v>426</v>
      </c>
      <c r="C493" s="91" t="s">
        <v>1065</v>
      </c>
      <c r="D493" s="126">
        <v>1974</v>
      </c>
      <c r="E493" s="126"/>
      <c r="F493" s="145" t="s">
        <v>273</v>
      </c>
      <c r="G493" s="126">
        <v>2</v>
      </c>
      <c r="H493" s="126">
        <v>3</v>
      </c>
      <c r="I493" s="118">
        <v>970.5</v>
      </c>
      <c r="J493" s="118">
        <v>874</v>
      </c>
      <c r="K493" s="118">
        <f>J493-87.6</f>
        <v>786.4</v>
      </c>
      <c r="L493" s="127">
        <v>38</v>
      </c>
      <c r="M493" s="126" t="s">
        <v>271</v>
      </c>
      <c r="N493" s="126" t="s">
        <v>275</v>
      </c>
      <c r="O493" s="124" t="s">
        <v>300</v>
      </c>
      <c r="P493" s="118">
        <v>467593.97</v>
      </c>
      <c r="Q493" s="118">
        <v>0</v>
      </c>
      <c r="R493" s="118">
        <v>0</v>
      </c>
      <c r="S493" s="118">
        <f>P493-Q493-R493</f>
        <v>467593.97</v>
      </c>
      <c r="T493" s="118">
        <f t="shared" si="63"/>
        <v>481.80728490468829</v>
      </c>
      <c r="U493" s="118">
        <f>AG493</f>
        <v>845.09717620137292</v>
      </c>
      <c r="V493" s="183">
        <f t="shared" si="65"/>
        <v>363.28989129668463</v>
      </c>
      <c r="W493" s="183"/>
      <c r="X493" s="183"/>
      <c r="Y493" s="64" t="e">
        <f t="shared" si="66"/>
        <v>#N/A</v>
      </c>
      <c r="AA493" s="64" t="e">
        <f t="shared" si="67"/>
        <v>#N/A</v>
      </c>
      <c r="AC493" s="64" t="s">
        <v>589</v>
      </c>
      <c r="AD493" s="64">
        <v>1260.4000000000001</v>
      </c>
      <c r="AG493" s="64">
        <f>AH493*6191.24/J493</f>
        <v>845.09717620137292</v>
      </c>
      <c r="AH493" s="64">
        <f t="shared" si="68"/>
        <v>119.3</v>
      </c>
      <c r="AS493" s="64" t="e">
        <f t="shared" si="69"/>
        <v>#N/A</v>
      </c>
    </row>
    <row r="494" spans="1:45" s="64" customFormat="1" ht="36" customHeight="1" x14ac:dyDescent="0.9">
      <c r="B494" s="91" t="s">
        <v>879</v>
      </c>
      <c r="C494" s="172"/>
      <c r="D494" s="126" t="s">
        <v>916</v>
      </c>
      <c r="E494" s="126" t="s">
        <v>916</v>
      </c>
      <c r="F494" s="126" t="s">
        <v>916</v>
      </c>
      <c r="G494" s="126" t="s">
        <v>916</v>
      </c>
      <c r="H494" s="126" t="s">
        <v>916</v>
      </c>
      <c r="I494" s="117">
        <f>SUM(I495:I499)</f>
        <v>3040.6</v>
      </c>
      <c r="J494" s="117">
        <f>SUM(J495:J499)</f>
        <v>2684.3</v>
      </c>
      <c r="K494" s="117">
        <f>SUM(K495:K499)</f>
        <v>2684.3</v>
      </c>
      <c r="L494" s="127">
        <f>SUM(L495:L499)</f>
        <v>115</v>
      </c>
      <c r="M494" s="126" t="s">
        <v>916</v>
      </c>
      <c r="N494" s="126" t="s">
        <v>916</v>
      </c>
      <c r="O494" s="124" t="s">
        <v>916</v>
      </c>
      <c r="P494" s="118">
        <v>10671208.33</v>
      </c>
      <c r="Q494" s="118">
        <f>SUM(Q495:Q499)</f>
        <v>0</v>
      </c>
      <c r="R494" s="118">
        <f>SUM(R495:R499)</f>
        <v>0</v>
      </c>
      <c r="S494" s="118">
        <f>SUM(S495:S499)</f>
        <v>10671208.33</v>
      </c>
      <c r="T494" s="118">
        <f t="shared" si="63"/>
        <v>3509.5732191014931</v>
      </c>
      <c r="U494" s="118">
        <f>MAX(U495:U499)</f>
        <v>29658.561655716163</v>
      </c>
      <c r="V494" s="183">
        <f t="shared" si="65"/>
        <v>26148.988436614669</v>
      </c>
      <c r="W494" s="183"/>
      <c r="X494" s="183"/>
      <c r="Y494" s="64" t="e">
        <f t="shared" si="66"/>
        <v>#N/A</v>
      </c>
      <c r="AA494" s="64" t="e">
        <f t="shared" si="67"/>
        <v>#N/A</v>
      </c>
      <c r="AC494" s="64" t="s">
        <v>590</v>
      </c>
      <c r="AD494" s="64">
        <v>1151</v>
      </c>
      <c r="AH494" s="64" t="e">
        <f t="shared" si="68"/>
        <v>#N/A</v>
      </c>
      <c r="AS494" s="64" t="e">
        <f t="shared" si="69"/>
        <v>#N/A</v>
      </c>
    </row>
    <row r="495" spans="1:45" s="64" customFormat="1" ht="36" customHeight="1" x14ac:dyDescent="0.9">
      <c r="A495" s="64">
        <v>1</v>
      </c>
      <c r="B495" s="92">
        <f>SUBTOTAL(103,$A$16:A495)</f>
        <v>427</v>
      </c>
      <c r="C495" s="91" t="s">
        <v>90</v>
      </c>
      <c r="D495" s="126">
        <v>1969</v>
      </c>
      <c r="E495" s="126"/>
      <c r="F495" s="145" t="s">
        <v>273</v>
      </c>
      <c r="G495" s="126">
        <v>2</v>
      </c>
      <c r="H495" s="126">
        <v>2</v>
      </c>
      <c r="I495" s="118">
        <v>773.4</v>
      </c>
      <c r="J495" s="118">
        <v>714.5</v>
      </c>
      <c r="K495" s="118">
        <v>714.5</v>
      </c>
      <c r="L495" s="127">
        <v>37</v>
      </c>
      <c r="M495" s="126" t="s">
        <v>271</v>
      </c>
      <c r="N495" s="126" t="s">
        <v>275</v>
      </c>
      <c r="O495" s="124" t="s">
        <v>286</v>
      </c>
      <c r="P495" s="118">
        <v>2314656.7600000002</v>
      </c>
      <c r="Q495" s="118">
        <v>0</v>
      </c>
      <c r="R495" s="118">
        <v>0</v>
      </c>
      <c r="S495" s="118">
        <f>P495-Q495-R495</f>
        <v>2314656.7600000002</v>
      </c>
      <c r="T495" s="118">
        <f t="shared" si="63"/>
        <v>2992.8326351176624</v>
      </c>
      <c r="U495" s="118">
        <f>T495</f>
        <v>2992.8326351176624</v>
      </c>
      <c r="V495" s="183">
        <f t="shared" si="65"/>
        <v>0</v>
      </c>
      <c r="W495" s="183"/>
      <c r="X495" s="183"/>
      <c r="Y495" s="64">
        <f t="shared" si="66"/>
        <v>2876.2435996896825</v>
      </c>
      <c r="AA495" s="64">
        <f t="shared" si="67"/>
        <v>426</v>
      </c>
      <c r="AC495" s="64" t="s">
        <v>591</v>
      </c>
      <c r="AD495" s="64">
        <v>464.7</v>
      </c>
      <c r="AH495" s="64" t="e">
        <f t="shared" si="68"/>
        <v>#N/A</v>
      </c>
      <c r="AS495" s="64" t="e">
        <f t="shared" si="69"/>
        <v>#N/A</v>
      </c>
    </row>
    <row r="496" spans="1:45" s="64" customFormat="1" ht="36" customHeight="1" x14ac:dyDescent="0.9">
      <c r="A496" s="64">
        <v>1</v>
      </c>
      <c r="B496" s="92">
        <f>SUBTOTAL(103,$A$16:A496)</f>
        <v>428</v>
      </c>
      <c r="C496" s="91" t="s">
        <v>91</v>
      </c>
      <c r="D496" s="126">
        <v>1960</v>
      </c>
      <c r="E496" s="126"/>
      <c r="F496" s="145" t="s">
        <v>273</v>
      </c>
      <c r="G496" s="126">
        <v>2</v>
      </c>
      <c r="H496" s="126">
        <v>1</v>
      </c>
      <c r="I496" s="118">
        <v>382.2</v>
      </c>
      <c r="J496" s="118">
        <v>358.4</v>
      </c>
      <c r="K496" s="118">
        <v>358.4</v>
      </c>
      <c r="L496" s="127">
        <v>19</v>
      </c>
      <c r="M496" s="126" t="s">
        <v>271</v>
      </c>
      <c r="N496" s="126" t="s">
        <v>275</v>
      </c>
      <c r="O496" s="124" t="s">
        <v>286</v>
      </c>
      <c r="P496" s="118">
        <v>2027380.1</v>
      </c>
      <c r="Q496" s="118">
        <v>0</v>
      </c>
      <c r="R496" s="118">
        <v>0</v>
      </c>
      <c r="S496" s="118">
        <f>P496-Q496-R496</f>
        <v>2027380.1</v>
      </c>
      <c r="T496" s="118">
        <f t="shared" si="63"/>
        <v>5304.5005232862377</v>
      </c>
      <c r="U496" s="118">
        <f>T496</f>
        <v>5304.5005232862377</v>
      </c>
      <c r="V496" s="183">
        <f t="shared" si="65"/>
        <v>0</v>
      </c>
      <c r="W496" s="183"/>
      <c r="X496" s="183"/>
      <c r="Y496" s="64" t="e">
        <f t="shared" si="66"/>
        <v>#N/A</v>
      </c>
      <c r="AA496" s="64" t="e">
        <f t="shared" si="67"/>
        <v>#N/A</v>
      </c>
      <c r="AC496" s="64" t="s">
        <v>592</v>
      </c>
      <c r="AD496" s="64">
        <v>464.68</v>
      </c>
      <c r="AG496" s="64">
        <f>AH496*6191.24/J496</f>
        <v>2454.7299218749999</v>
      </c>
      <c r="AH496" s="64">
        <f t="shared" si="68"/>
        <v>142.1</v>
      </c>
      <c r="AS496" s="64" t="e">
        <f t="shared" si="69"/>
        <v>#N/A</v>
      </c>
    </row>
    <row r="497" spans="1:45" s="64" customFormat="1" ht="36" customHeight="1" x14ac:dyDescent="0.9">
      <c r="A497" s="64">
        <v>1</v>
      </c>
      <c r="B497" s="92">
        <f>SUBTOTAL(103,$A$16:A497)</f>
        <v>429</v>
      </c>
      <c r="C497" s="91" t="s">
        <v>1294</v>
      </c>
      <c r="D497" s="126">
        <v>1965</v>
      </c>
      <c r="E497" s="126"/>
      <c r="F497" s="145" t="s">
        <v>338</v>
      </c>
      <c r="G497" s="126">
        <v>2</v>
      </c>
      <c r="H497" s="126">
        <v>1</v>
      </c>
      <c r="I497" s="118">
        <v>377</v>
      </c>
      <c r="J497" s="118">
        <v>334</v>
      </c>
      <c r="K497" s="118">
        <v>334</v>
      </c>
      <c r="L497" s="127">
        <v>23</v>
      </c>
      <c r="M497" s="126" t="s">
        <v>271</v>
      </c>
      <c r="N497" s="126" t="s">
        <v>275</v>
      </c>
      <c r="O497" s="124" t="s">
        <v>286</v>
      </c>
      <c r="P497" s="118">
        <v>1001541.0499999999</v>
      </c>
      <c r="Q497" s="118">
        <v>0</v>
      </c>
      <c r="R497" s="118">
        <v>0</v>
      </c>
      <c r="S497" s="118">
        <f>P497-Q497-R497</f>
        <v>1001541.0499999999</v>
      </c>
      <c r="T497" s="118">
        <f t="shared" si="63"/>
        <v>2656.6075596816972</v>
      </c>
      <c r="U497" s="118">
        <f>AG497</f>
        <v>8132.9537425149692</v>
      </c>
      <c r="V497" s="183">
        <f t="shared" si="65"/>
        <v>5476.346182833272</v>
      </c>
      <c r="W497" s="183"/>
      <c r="X497" s="183"/>
      <c r="Y497" s="64" t="e">
        <f t="shared" si="66"/>
        <v>#N/A</v>
      </c>
      <c r="AA497" s="64" t="e">
        <f t="shared" si="67"/>
        <v>#N/A</v>
      </c>
      <c r="AC497" s="64" t="s">
        <v>1684</v>
      </c>
      <c r="AD497" s="64">
        <v>828</v>
      </c>
      <c r="AG497" s="64">
        <f>AH497*6191.24/J497</f>
        <v>8132.9537425149692</v>
      </c>
      <c r="AH497" s="64">
        <f t="shared" si="68"/>
        <v>438.75</v>
      </c>
      <c r="AS497" s="64" t="e">
        <f t="shared" si="69"/>
        <v>#N/A</v>
      </c>
    </row>
    <row r="498" spans="1:45" s="64" customFormat="1" ht="36" customHeight="1" x14ac:dyDescent="0.9">
      <c r="A498" s="64">
        <v>1</v>
      </c>
      <c r="B498" s="92">
        <f>SUBTOTAL(103,$A$16:A498)</f>
        <v>430</v>
      </c>
      <c r="C498" s="91" t="s">
        <v>1295</v>
      </c>
      <c r="D498" s="126">
        <v>1917</v>
      </c>
      <c r="E498" s="126"/>
      <c r="F498" s="145" t="s">
        <v>273</v>
      </c>
      <c r="G498" s="126">
        <v>2</v>
      </c>
      <c r="H498" s="126">
        <v>1</v>
      </c>
      <c r="I498" s="118">
        <v>262.60000000000002</v>
      </c>
      <c r="J498" s="118">
        <v>152.19999999999999</v>
      </c>
      <c r="K498" s="118">
        <v>152.19999999999999</v>
      </c>
      <c r="L498" s="127">
        <v>10</v>
      </c>
      <c r="M498" s="126" t="s">
        <v>271</v>
      </c>
      <c r="N498" s="126" t="s">
        <v>272</v>
      </c>
      <c r="O498" s="124" t="s">
        <v>274</v>
      </c>
      <c r="P498" s="118">
        <v>1867055.11</v>
      </c>
      <c r="Q498" s="118">
        <v>0</v>
      </c>
      <c r="R498" s="118">
        <v>0</v>
      </c>
      <c r="S498" s="118">
        <f>P498-Q498-R498</f>
        <v>1867055.11</v>
      </c>
      <c r="T498" s="118">
        <f t="shared" si="63"/>
        <v>7109.8823686214773</v>
      </c>
      <c r="U498" s="118">
        <f>AG498</f>
        <v>29658.561655716163</v>
      </c>
      <c r="V498" s="183">
        <f t="shared" si="65"/>
        <v>22548.679287094685</v>
      </c>
      <c r="W498" s="183"/>
      <c r="X498" s="183"/>
      <c r="Y498" s="64" t="e">
        <f t="shared" si="66"/>
        <v>#N/A</v>
      </c>
      <c r="AA498" s="64" t="e">
        <f t="shared" si="67"/>
        <v>#N/A</v>
      </c>
      <c r="AC498" s="64" t="s">
        <v>593</v>
      </c>
      <c r="AD498" s="64">
        <v>917.7</v>
      </c>
      <c r="AG498" s="64">
        <f>AH498*6191.24/J498</f>
        <v>29658.561655716163</v>
      </c>
      <c r="AH498" s="64">
        <f t="shared" si="68"/>
        <v>729.1</v>
      </c>
      <c r="AS498" s="64" t="e">
        <f t="shared" si="69"/>
        <v>#N/A</v>
      </c>
    </row>
    <row r="499" spans="1:45" s="64" customFormat="1" ht="36" customHeight="1" x14ac:dyDescent="0.9">
      <c r="A499" s="64">
        <v>1</v>
      </c>
      <c r="B499" s="92">
        <f>SUBTOTAL(103,$A$16:A499)</f>
        <v>431</v>
      </c>
      <c r="C499" s="91" t="s">
        <v>1296</v>
      </c>
      <c r="D499" s="126">
        <v>1978</v>
      </c>
      <c r="E499" s="126"/>
      <c r="F499" s="145" t="s">
        <v>1374</v>
      </c>
      <c r="G499" s="126">
        <v>2</v>
      </c>
      <c r="H499" s="126">
        <v>4</v>
      </c>
      <c r="I499" s="118">
        <v>1245.4000000000001</v>
      </c>
      <c r="J499" s="118">
        <v>1125.2</v>
      </c>
      <c r="K499" s="118">
        <v>1125.2</v>
      </c>
      <c r="L499" s="127">
        <v>26</v>
      </c>
      <c r="M499" s="126" t="s">
        <v>271</v>
      </c>
      <c r="N499" s="126" t="s">
        <v>275</v>
      </c>
      <c r="O499" s="124" t="s">
        <v>1375</v>
      </c>
      <c r="P499" s="118">
        <v>3460575.3099999996</v>
      </c>
      <c r="Q499" s="118">
        <v>0</v>
      </c>
      <c r="R499" s="118">
        <v>0</v>
      </c>
      <c r="S499" s="118">
        <f>P499-Q499-R499</f>
        <v>3460575.3099999996</v>
      </c>
      <c r="T499" s="118">
        <f t="shared" si="63"/>
        <v>2778.6858117873771</v>
      </c>
      <c r="U499" s="118">
        <f>Y499</f>
        <v>3979.0334029227556</v>
      </c>
      <c r="V499" s="183">
        <f t="shared" si="65"/>
        <v>1200.3475911353785</v>
      </c>
      <c r="W499" s="183"/>
      <c r="X499" s="183"/>
      <c r="Y499" s="64">
        <f t="shared" si="66"/>
        <v>3979.0334029227556</v>
      </c>
      <c r="AA499" s="64">
        <f t="shared" si="67"/>
        <v>949</v>
      </c>
      <c r="AC499" s="64" t="s">
        <v>594</v>
      </c>
      <c r="AD499" s="64">
        <v>775</v>
      </c>
      <c r="AH499" s="64" t="e">
        <f t="shared" si="68"/>
        <v>#N/A</v>
      </c>
      <c r="AS499" s="64" t="e">
        <f t="shared" si="69"/>
        <v>#N/A</v>
      </c>
    </row>
    <row r="500" spans="1:45" s="64" customFormat="1" ht="36" customHeight="1" x14ac:dyDescent="0.9">
      <c r="B500" s="91" t="s">
        <v>906</v>
      </c>
      <c r="C500" s="91"/>
      <c r="D500" s="126" t="s">
        <v>916</v>
      </c>
      <c r="E500" s="126" t="s">
        <v>916</v>
      </c>
      <c r="F500" s="126" t="s">
        <v>916</v>
      </c>
      <c r="G500" s="126" t="s">
        <v>916</v>
      </c>
      <c r="H500" s="126" t="s">
        <v>916</v>
      </c>
      <c r="I500" s="117">
        <f>I501</f>
        <v>1191.0999999999999</v>
      </c>
      <c r="J500" s="117">
        <f>J501</f>
        <v>714.7</v>
      </c>
      <c r="K500" s="117">
        <f>K501</f>
        <v>714.7</v>
      </c>
      <c r="L500" s="127">
        <f>L501</f>
        <v>31</v>
      </c>
      <c r="M500" s="126" t="s">
        <v>916</v>
      </c>
      <c r="N500" s="126" t="s">
        <v>916</v>
      </c>
      <c r="O500" s="124" t="s">
        <v>916</v>
      </c>
      <c r="P500" s="118">
        <v>2887803.45</v>
      </c>
      <c r="Q500" s="118">
        <f>Q501</f>
        <v>0</v>
      </c>
      <c r="R500" s="118">
        <f>R501</f>
        <v>0</v>
      </c>
      <c r="S500" s="118">
        <f>S501</f>
        <v>2887803.45</v>
      </c>
      <c r="T500" s="118">
        <f t="shared" si="63"/>
        <v>2424.4844681386958</v>
      </c>
      <c r="U500" s="118">
        <f>U501</f>
        <v>2688.2778608009407</v>
      </c>
      <c r="V500" s="183">
        <f t="shared" si="65"/>
        <v>263.79339266224497</v>
      </c>
      <c r="W500" s="183"/>
      <c r="X500" s="183"/>
      <c r="Y500" s="64" t="e">
        <f t="shared" si="66"/>
        <v>#N/A</v>
      </c>
      <c r="AA500" s="64" t="e">
        <f t="shared" si="67"/>
        <v>#N/A</v>
      </c>
      <c r="AC500" s="64" t="s">
        <v>595</v>
      </c>
      <c r="AD500" s="64">
        <v>557</v>
      </c>
      <c r="AH500" s="64" t="e">
        <f t="shared" si="68"/>
        <v>#N/A</v>
      </c>
      <c r="AS500" s="64" t="e">
        <f t="shared" si="69"/>
        <v>#N/A</v>
      </c>
    </row>
    <row r="501" spans="1:45" s="64" customFormat="1" ht="36" customHeight="1" x14ac:dyDescent="0.9">
      <c r="A501" s="64">
        <v>1</v>
      </c>
      <c r="B501" s="92">
        <f>SUBTOTAL(103,$A$16:A501)</f>
        <v>432</v>
      </c>
      <c r="C501" s="91" t="s">
        <v>92</v>
      </c>
      <c r="D501" s="126">
        <v>1967</v>
      </c>
      <c r="E501" s="126"/>
      <c r="F501" s="145" t="s">
        <v>273</v>
      </c>
      <c r="G501" s="126">
        <v>2</v>
      </c>
      <c r="H501" s="126">
        <v>2</v>
      </c>
      <c r="I501" s="118">
        <v>1191.0999999999999</v>
      </c>
      <c r="J501" s="118">
        <v>714.7</v>
      </c>
      <c r="K501" s="118">
        <v>714.7</v>
      </c>
      <c r="L501" s="127">
        <v>31</v>
      </c>
      <c r="M501" s="126" t="s">
        <v>271</v>
      </c>
      <c r="N501" s="126" t="s">
        <v>275</v>
      </c>
      <c r="O501" s="124" t="s">
        <v>287</v>
      </c>
      <c r="P501" s="118">
        <v>2887803.45</v>
      </c>
      <c r="Q501" s="118">
        <v>0</v>
      </c>
      <c r="R501" s="118">
        <v>0</v>
      </c>
      <c r="S501" s="118">
        <f>P501-Q501-R501</f>
        <v>2887803.45</v>
      </c>
      <c r="T501" s="118">
        <f t="shared" si="63"/>
        <v>2424.4844681386958</v>
      </c>
      <c r="U501" s="118">
        <f>Y501</f>
        <v>2688.2778608009407</v>
      </c>
      <c r="V501" s="183">
        <f t="shared" si="65"/>
        <v>263.79339266224497</v>
      </c>
      <c r="W501" s="183"/>
      <c r="X501" s="183"/>
      <c r="Y501" s="64">
        <f t="shared" si="66"/>
        <v>2688.2778608009407</v>
      </c>
      <c r="AA501" s="64">
        <f t="shared" si="67"/>
        <v>613.20000000000005</v>
      </c>
      <c r="AC501" s="64" t="s">
        <v>596</v>
      </c>
      <c r="AD501" s="64">
        <v>226</v>
      </c>
      <c r="AH501" s="64" t="e">
        <f t="shared" si="68"/>
        <v>#N/A</v>
      </c>
      <c r="AS501" s="64" t="e">
        <f t="shared" si="69"/>
        <v>#N/A</v>
      </c>
    </row>
    <row r="502" spans="1:45" s="64" customFormat="1" ht="36" customHeight="1" x14ac:dyDescent="0.9">
      <c r="B502" s="91" t="s">
        <v>880</v>
      </c>
      <c r="C502" s="91"/>
      <c r="D502" s="126" t="s">
        <v>916</v>
      </c>
      <c r="E502" s="126" t="s">
        <v>916</v>
      </c>
      <c r="F502" s="126" t="s">
        <v>916</v>
      </c>
      <c r="G502" s="126" t="s">
        <v>916</v>
      </c>
      <c r="H502" s="126" t="s">
        <v>916</v>
      </c>
      <c r="I502" s="117">
        <f>I503</f>
        <v>706</v>
      </c>
      <c r="J502" s="117">
        <f>J503</f>
        <v>627.1</v>
      </c>
      <c r="K502" s="117">
        <f>K503</f>
        <v>627.1</v>
      </c>
      <c r="L502" s="127">
        <f>L503</f>
        <v>41</v>
      </c>
      <c r="M502" s="126" t="s">
        <v>916</v>
      </c>
      <c r="N502" s="126" t="s">
        <v>916</v>
      </c>
      <c r="O502" s="124" t="s">
        <v>916</v>
      </c>
      <c r="P502" s="118">
        <v>3060372.16</v>
      </c>
      <c r="Q502" s="118">
        <f>Q503</f>
        <v>0</v>
      </c>
      <c r="R502" s="118">
        <f>R503</f>
        <v>0</v>
      </c>
      <c r="S502" s="118">
        <f>S503</f>
        <v>3060372.16</v>
      </c>
      <c r="T502" s="118">
        <f t="shared" si="63"/>
        <v>4334.8047592067987</v>
      </c>
      <c r="U502" s="118">
        <f>U503</f>
        <v>4437.7903682719543</v>
      </c>
      <c r="V502" s="183">
        <f t="shared" si="65"/>
        <v>102.98560906515559</v>
      </c>
      <c r="W502" s="183"/>
      <c r="X502" s="183"/>
      <c r="Y502" s="64" t="e">
        <f t="shared" si="66"/>
        <v>#N/A</v>
      </c>
      <c r="AA502" s="64" t="e">
        <f t="shared" si="67"/>
        <v>#N/A</v>
      </c>
      <c r="AC502" s="64" t="s">
        <v>597</v>
      </c>
      <c r="AD502" s="64">
        <v>632</v>
      </c>
      <c r="AH502" s="64" t="e">
        <f t="shared" si="68"/>
        <v>#N/A</v>
      </c>
      <c r="AS502" s="64" t="e">
        <f t="shared" si="69"/>
        <v>#N/A</v>
      </c>
    </row>
    <row r="503" spans="1:45" s="64" customFormat="1" ht="36" customHeight="1" x14ac:dyDescent="0.9">
      <c r="A503" s="64">
        <v>1</v>
      </c>
      <c r="B503" s="92">
        <f>SUBTOTAL(103,$A$16:A503)</f>
        <v>433</v>
      </c>
      <c r="C503" s="91" t="s">
        <v>93</v>
      </c>
      <c r="D503" s="126">
        <v>1979</v>
      </c>
      <c r="E503" s="126"/>
      <c r="F503" s="145" t="s">
        <v>273</v>
      </c>
      <c r="G503" s="126">
        <v>2</v>
      </c>
      <c r="H503" s="126">
        <v>2</v>
      </c>
      <c r="I503" s="118">
        <v>706</v>
      </c>
      <c r="J503" s="118">
        <v>627.1</v>
      </c>
      <c r="K503" s="118">
        <v>627.1</v>
      </c>
      <c r="L503" s="127">
        <v>41</v>
      </c>
      <c r="M503" s="126" t="s">
        <v>271</v>
      </c>
      <c r="N503" s="126" t="s">
        <v>275</v>
      </c>
      <c r="O503" s="124" t="s">
        <v>1022</v>
      </c>
      <c r="P503" s="118">
        <v>3060372.16</v>
      </c>
      <c r="Q503" s="118">
        <v>0</v>
      </c>
      <c r="R503" s="118">
        <v>0</v>
      </c>
      <c r="S503" s="118">
        <f>P503-Q503-R503</f>
        <v>3060372.16</v>
      </c>
      <c r="T503" s="118">
        <f t="shared" si="63"/>
        <v>4334.8047592067987</v>
      </c>
      <c r="U503" s="118">
        <f>Y503</f>
        <v>4437.7903682719543</v>
      </c>
      <c r="V503" s="183">
        <f t="shared" si="65"/>
        <v>102.98560906515559</v>
      </c>
      <c r="W503" s="183"/>
      <c r="X503" s="183"/>
      <c r="Y503" s="64">
        <f t="shared" si="66"/>
        <v>4437.7903682719543</v>
      </c>
      <c r="AA503" s="64">
        <f t="shared" si="67"/>
        <v>600</v>
      </c>
      <c r="AC503" s="64" t="s">
        <v>598</v>
      </c>
      <c r="AD503" s="64">
        <v>632</v>
      </c>
      <c r="AH503" s="64" t="e">
        <f t="shared" si="68"/>
        <v>#N/A</v>
      </c>
      <c r="AS503" s="64" t="e">
        <f t="shared" si="69"/>
        <v>#N/A</v>
      </c>
    </row>
    <row r="504" spans="1:45" s="64" customFormat="1" ht="36" customHeight="1" x14ac:dyDescent="0.9">
      <c r="B504" s="91" t="s">
        <v>881</v>
      </c>
      <c r="C504" s="91"/>
      <c r="D504" s="126" t="s">
        <v>916</v>
      </c>
      <c r="E504" s="126" t="s">
        <v>916</v>
      </c>
      <c r="F504" s="126" t="s">
        <v>916</v>
      </c>
      <c r="G504" s="126" t="s">
        <v>916</v>
      </c>
      <c r="H504" s="126" t="s">
        <v>916</v>
      </c>
      <c r="I504" s="117">
        <f>I505+I506</f>
        <v>2609.1000000000004</v>
      </c>
      <c r="J504" s="117">
        <f>J505+J506</f>
        <v>2286.5</v>
      </c>
      <c r="K504" s="117">
        <f>K505+K506</f>
        <v>2286.5</v>
      </c>
      <c r="L504" s="127">
        <f>L505+L506</f>
        <v>98</v>
      </c>
      <c r="M504" s="126" t="s">
        <v>916</v>
      </c>
      <c r="N504" s="126" t="s">
        <v>916</v>
      </c>
      <c r="O504" s="124" t="s">
        <v>916</v>
      </c>
      <c r="P504" s="117">
        <v>6877537.6499999994</v>
      </c>
      <c r="Q504" s="117">
        <f>Q505+Q506</f>
        <v>0</v>
      </c>
      <c r="R504" s="117">
        <f>R505+R506</f>
        <v>0</v>
      </c>
      <c r="S504" s="117">
        <f>S505+S506</f>
        <v>6877537.6499999994</v>
      </c>
      <c r="T504" s="118">
        <f t="shared" si="63"/>
        <v>2635.9808554674019</v>
      </c>
      <c r="U504" s="118">
        <f>MAX(U505:U506)</f>
        <v>2977.707742965476</v>
      </c>
      <c r="V504" s="183">
        <f t="shared" si="65"/>
        <v>341.72688749807412</v>
      </c>
      <c r="W504" s="183"/>
      <c r="X504" s="183"/>
      <c r="Y504" s="64" t="e">
        <f t="shared" si="66"/>
        <v>#N/A</v>
      </c>
      <c r="AA504" s="64" t="e">
        <f t="shared" si="67"/>
        <v>#N/A</v>
      </c>
      <c r="AC504" s="64" t="s">
        <v>599</v>
      </c>
      <c r="AD504" s="64">
        <v>720</v>
      </c>
      <c r="AH504" s="64" t="e">
        <f t="shared" si="68"/>
        <v>#N/A</v>
      </c>
      <c r="AS504" s="64" t="e">
        <f t="shared" si="69"/>
        <v>#N/A</v>
      </c>
    </row>
    <row r="505" spans="1:45" s="64" customFormat="1" ht="36" customHeight="1" x14ac:dyDescent="0.9">
      <c r="A505" s="64">
        <v>1</v>
      </c>
      <c r="B505" s="92">
        <f>SUBTOTAL(103,$A$16:A505)</f>
        <v>434</v>
      </c>
      <c r="C505" s="91" t="s">
        <v>94</v>
      </c>
      <c r="D505" s="126">
        <v>1980</v>
      </c>
      <c r="E505" s="126"/>
      <c r="F505" s="145" t="s">
        <v>273</v>
      </c>
      <c r="G505" s="126">
        <v>2</v>
      </c>
      <c r="H505" s="126">
        <v>3</v>
      </c>
      <c r="I505" s="118">
        <v>2004.4</v>
      </c>
      <c r="J505" s="118">
        <v>1886.5</v>
      </c>
      <c r="K505" s="118">
        <v>1886.5</v>
      </c>
      <c r="L505" s="127">
        <v>67</v>
      </c>
      <c r="M505" s="126" t="s">
        <v>271</v>
      </c>
      <c r="N505" s="126" t="s">
        <v>275</v>
      </c>
      <c r="O505" s="124" t="s">
        <v>286</v>
      </c>
      <c r="P505" s="118">
        <v>5946967.9399999995</v>
      </c>
      <c r="Q505" s="118">
        <v>0</v>
      </c>
      <c r="R505" s="118">
        <v>0</v>
      </c>
      <c r="S505" s="118">
        <f>P505-Q505-R505</f>
        <v>5946967.9399999995</v>
      </c>
      <c r="T505" s="118">
        <f t="shared" si="63"/>
        <v>2966.9566653362599</v>
      </c>
      <c r="U505" s="118">
        <f>Y505</f>
        <v>2977.707742965476</v>
      </c>
      <c r="V505" s="183">
        <f t="shared" si="65"/>
        <v>10.75107762921607</v>
      </c>
      <c r="W505" s="183"/>
      <c r="X505" s="183"/>
      <c r="Y505" s="64">
        <f t="shared" si="66"/>
        <v>2977.707742965476</v>
      </c>
      <c r="AA505" s="64">
        <f t="shared" si="67"/>
        <v>1143</v>
      </c>
      <c r="AC505" s="64" t="s">
        <v>600</v>
      </c>
      <c r="AD505" s="64">
        <v>971</v>
      </c>
      <c r="AH505" s="64" t="e">
        <f t="shared" si="68"/>
        <v>#N/A</v>
      </c>
      <c r="AS505" s="64" t="e">
        <f t="shared" si="69"/>
        <v>#N/A</v>
      </c>
    </row>
    <row r="506" spans="1:45" s="64" customFormat="1" ht="36" customHeight="1" x14ac:dyDescent="0.9">
      <c r="A506" s="64">
        <v>1</v>
      </c>
      <c r="B506" s="92">
        <f>SUBTOTAL(103,$A$16:A506)</f>
        <v>435</v>
      </c>
      <c r="C506" s="91" t="s">
        <v>1662</v>
      </c>
      <c r="D506" s="126">
        <v>1974</v>
      </c>
      <c r="E506" s="126"/>
      <c r="F506" s="145" t="s">
        <v>1374</v>
      </c>
      <c r="G506" s="126">
        <v>2</v>
      </c>
      <c r="H506" s="126">
        <v>3</v>
      </c>
      <c r="I506" s="117">
        <v>604.70000000000005</v>
      </c>
      <c r="J506" s="117">
        <v>400</v>
      </c>
      <c r="K506" s="117">
        <f>J506</f>
        <v>400</v>
      </c>
      <c r="L506" s="127">
        <v>31</v>
      </c>
      <c r="M506" s="126" t="s">
        <v>271</v>
      </c>
      <c r="N506" s="126" t="s">
        <v>272</v>
      </c>
      <c r="O506" s="124" t="s">
        <v>274</v>
      </c>
      <c r="P506" s="118">
        <v>930569.71000000008</v>
      </c>
      <c r="Q506" s="118">
        <v>0</v>
      </c>
      <c r="R506" s="118">
        <v>0</v>
      </c>
      <c r="S506" s="118">
        <f>P506-Q506-R506</f>
        <v>930569.71000000008</v>
      </c>
      <c r="T506" s="118">
        <f>P506/I661</f>
        <v>239.75722309535465</v>
      </c>
      <c r="U506" s="118">
        <f>T506</f>
        <v>239.75722309535465</v>
      </c>
      <c r="V506" s="183">
        <f t="shared" si="65"/>
        <v>0</v>
      </c>
      <c r="W506" s="183"/>
      <c r="X506" s="183"/>
      <c r="Y506" s="64" t="e">
        <f t="shared" si="66"/>
        <v>#N/A</v>
      </c>
      <c r="AA506" s="64" t="e">
        <f t="shared" si="67"/>
        <v>#N/A</v>
      </c>
      <c r="AC506" s="64" t="s">
        <v>602</v>
      </c>
      <c r="AD506" s="64">
        <v>844</v>
      </c>
      <c r="AH506" s="64" t="e">
        <f t="shared" si="68"/>
        <v>#N/A</v>
      </c>
      <c r="AS506" s="64" t="e">
        <f t="shared" si="69"/>
        <v>#N/A</v>
      </c>
    </row>
    <row r="507" spans="1:45" s="64" customFormat="1" ht="36" customHeight="1" x14ac:dyDescent="0.9">
      <c r="B507" s="91" t="s">
        <v>882</v>
      </c>
      <c r="C507" s="91"/>
      <c r="D507" s="126" t="s">
        <v>916</v>
      </c>
      <c r="E507" s="126" t="s">
        <v>916</v>
      </c>
      <c r="F507" s="126" t="s">
        <v>916</v>
      </c>
      <c r="G507" s="126" t="s">
        <v>916</v>
      </c>
      <c r="H507" s="126" t="s">
        <v>916</v>
      </c>
      <c r="I507" s="117">
        <f>I508</f>
        <v>702.7</v>
      </c>
      <c r="J507" s="117">
        <f>J508</f>
        <v>643.20000000000005</v>
      </c>
      <c r="K507" s="117">
        <f>K508</f>
        <v>643.20000000000005</v>
      </c>
      <c r="L507" s="127">
        <f>L508</f>
        <v>34</v>
      </c>
      <c r="M507" s="126" t="s">
        <v>916</v>
      </c>
      <c r="N507" s="126" t="s">
        <v>916</v>
      </c>
      <c r="O507" s="124" t="s">
        <v>916</v>
      </c>
      <c r="P507" s="118">
        <v>3253210.4899999998</v>
      </c>
      <c r="Q507" s="118">
        <f>Q508</f>
        <v>0</v>
      </c>
      <c r="R507" s="118">
        <f>R508</f>
        <v>0</v>
      </c>
      <c r="S507" s="118">
        <f>S508</f>
        <v>3253210.4899999998</v>
      </c>
      <c r="T507" s="118">
        <f t="shared" si="63"/>
        <v>4629.5865803330007</v>
      </c>
      <c r="U507" s="118">
        <f>T507</f>
        <v>4629.5865803330007</v>
      </c>
      <c r="V507" s="183">
        <f t="shared" si="65"/>
        <v>0</v>
      </c>
      <c r="W507" s="183"/>
      <c r="X507" s="183"/>
      <c r="Y507" s="64" t="e">
        <f t="shared" si="66"/>
        <v>#N/A</v>
      </c>
      <c r="AA507" s="64" t="e">
        <f t="shared" si="67"/>
        <v>#N/A</v>
      </c>
      <c r="AC507" s="64" t="s">
        <v>1685</v>
      </c>
      <c r="AD507" s="64">
        <v>960</v>
      </c>
      <c r="AH507" s="64" t="e">
        <f t="shared" si="68"/>
        <v>#N/A</v>
      </c>
      <c r="AS507" s="64" t="e">
        <f t="shared" si="69"/>
        <v>#N/A</v>
      </c>
    </row>
    <row r="508" spans="1:45" s="64" customFormat="1" ht="36" customHeight="1" x14ac:dyDescent="0.9">
      <c r="A508" s="64">
        <v>1</v>
      </c>
      <c r="B508" s="92">
        <f>SUBTOTAL(103,$A$16:A508)</f>
        <v>436</v>
      </c>
      <c r="C508" s="91" t="s">
        <v>95</v>
      </c>
      <c r="D508" s="126">
        <v>1969</v>
      </c>
      <c r="E508" s="126"/>
      <c r="F508" s="145" t="s">
        <v>273</v>
      </c>
      <c r="G508" s="126">
        <v>2</v>
      </c>
      <c r="H508" s="126">
        <v>2</v>
      </c>
      <c r="I508" s="118">
        <v>702.7</v>
      </c>
      <c r="J508" s="118">
        <v>643.20000000000005</v>
      </c>
      <c r="K508" s="118">
        <v>643.20000000000005</v>
      </c>
      <c r="L508" s="127">
        <v>34</v>
      </c>
      <c r="M508" s="126" t="s">
        <v>271</v>
      </c>
      <c r="N508" s="126" t="s">
        <v>275</v>
      </c>
      <c r="O508" s="124" t="s">
        <v>288</v>
      </c>
      <c r="P508" s="118">
        <v>3253210.4899999998</v>
      </c>
      <c r="Q508" s="118">
        <v>0</v>
      </c>
      <c r="R508" s="118">
        <v>0</v>
      </c>
      <c r="S508" s="118">
        <f>P508-Q508-R508</f>
        <v>3253210.4899999998</v>
      </c>
      <c r="T508" s="118">
        <f t="shared" si="63"/>
        <v>4629.5865803330007</v>
      </c>
      <c r="U508" s="118">
        <f>T508</f>
        <v>4629.5865803330007</v>
      </c>
      <c r="V508" s="183">
        <f t="shared" si="65"/>
        <v>0</v>
      </c>
      <c r="W508" s="183"/>
      <c r="X508" s="183"/>
      <c r="Y508" s="64">
        <f t="shared" si="66"/>
        <v>4458.6309947345944</v>
      </c>
      <c r="AA508" s="64">
        <f t="shared" si="67"/>
        <v>600</v>
      </c>
      <c r="AC508" s="64" t="s">
        <v>1686</v>
      </c>
      <c r="AD508" s="64">
        <v>1075</v>
      </c>
      <c r="AH508" s="64" t="e">
        <f t="shared" si="68"/>
        <v>#N/A</v>
      </c>
      <c r="AS508" s="64" t="e">
        <f t="shared" si="69"/>
        <v>#N/A</v>
      </c>
    </row>
    <row r="509" spans="1:45" s="64" customFormat="1" ht="36" customHeight="1" x14ac:dyDescent="0.9">
      <c r="B509" s="91" t="s">
        <v>1297</v>
      </c>
      <c r="C509" s="91"/>
      <c r="D509" s="126" t="s">
        <v>916</v>
      </c>
      <c r="E509" s="126" t="s">
        <v>916</v>
      </c>
      <c r="F509" s="126" t="s">
        <v>916</v>
      </c>
      <c r="G509" s="126" t="s">
        <v>916</v>
      </c>
      <c r="H509" s="126" t="s">
        <v>916</v>
      </c>
      <c r="I509" s="117">
        <f>I510</f>
        <v>853.8</v>
      </c>
      <c r="J509" s="117">
        <f>J510</f>
        <v>679.5</v>
      </c>
      <c r="K509" s="117">
        <f>K510</f>
        <v>679.5</v>
      </c>
      <c r="L509" s="127">
        <f>L510</f>
        <v>38</v>
      </c>
      <c r="M509" s="126" t="s">
        <v>916</v>
      </c>
      <c r="N509" s="126" t="s">
        <v>916</v>
      </c>
      <c r="O509" s="124" t="s">
        <v>916</v>
      </c>
      <c r="P509" s="118">
        <v>2309984.35</v>
      </c>
      <c r="Q509" s="118">
        <f>Q510</f>
        <v>0</v>
      </c>
      <c r="R509" s="118">
        <f>R510</f>
        <v>0</v>
      </c>
      <c r="S509" s="118">
        <f>S510</f>
        <v>2309984.35</v>
      </c>
      <c r="T509" s="118">
        <f t="shared" ref="T509:T572" si="72">P509/I509</f>
        <v>2705.5333216209888</v>
      </c>
      <c r="U509" s="118">
        <f>U510</f>
        <v>3602.6400000000003</v>
      </c>
      <c r="V509" s="183">
        <f t="shared" si="65"/>
        <v>897.10667837901156</v>
      </c>
      <c r="W509" s="183"/>
      <c r="X509" s="183"/>
      <c r="Y509" s="64" t="e">
        <f t="shared" si="66"/>
        <v>#N/A</v>
      </c>
      <c r="AA509" s="64" t="e">
        <f t="shared" si="67"/>
        <v>#N/A</v>
      </c>
      <c r="AC509" s="64" t="s">
        <v>603</v>
      </c>
      <c r="AD509" s="64">
        <v>832</v>
      </c>
      <c r="AH509" s="64" t="e">
        <f t="shared" si="68"/>
        <v>#N/A</v>
      </c>
      <c r="AS509" s="64" t="e">
        <f t="shared" si="69"/>
        <v>#N/A</v>
      </c>
    </row>
    <row r="510" spans="1:45" s="64" customFormat="1" ht="36" customHeight="1" x14ac:dyDescent="0.9">
      <c r="A510" s="64">
        <v>1</v>
      </c>
      <c r="B510" s="92">
        <f>SUBTOTAL(103,$A$16:A510)</f>
        <v>437</v>
      </c>
      <c r="C510" s="91" t="s">
        <v>1298</v>
      </c>
      <c r="D510" s="126">
        <v>1981</v>
      </c>
      <c r="E510" s="126"/>
      <c r="F510" s="145" t="s">
        <v>344</v>
      </c>
      <c r="G510" s="126">
        <v>2</v>
      </c>
      <c r="H510" s="126">
        <v>3</v>
      </c>
      <c r="I510" s="118">
        <v>853.8</v>
      </c>
      <c r="J510" s="118">
        <v>679.5</v>
      </c>
      <c r="K510" s="118">
        <v>679.5</v>
      </c>
      <c r="L510" s="127">
        <v>38</v>
      </c>
      <c r="M510" s="126" t="s">
        <v>271</v>
      </c>
      <c r="N510" s="126" t="s">
        <v>275</v>
      </c>
      <c r="O510" s="124" t="s">
        <v>1329</v>
      </c>
      <c r="P510" s="118">
        <v>2309984.35</v>
      </c>
      <c r="Q510" s="118">
        <v>0</v>
      </c>
      <c r="R510" s="118">
        <v>0</v>
      </c>
      <c r="S510" s="118">
        <f>P510-Q510-R510</f>
        <v>2309984.35</v>
      </c>
      <c r="T510" s="118">
        <f t="shared" si="72"/>
        <v>2705.5333216209888</v>
      </c>
      <c r="U510" s="118">
        <v>3602.6400000000003</v>
      </c>
      <c r="V510" s="183">
        <f t="shared" si="65"/>
        <v>897.10667837901156</v>
      </c>
      <c r="W510" s="183"/>
      <c r="X510" s="183"/>
      <c r="Y510" s="64" t="e">
        <f t="shared" si="66"/>
        <v>#N/A</v>
      </c>
      <c r="AA510" s="64" t="e">
        <f t="shared" si="67"/>
        <v>#N/A</v>
      </c>
      <c r="AC510" s="64" t="s">
        <v>604</v>
      </c>
      <c r="AD510" s="64">
        <v>621.5</v>
      </c>
      <c r="AH510" s="64" t="e">
        <f t="shared" si="68"/>
        <v>#N/A</v>
      </c>
      <c r="AS510" s="64" t="e">
        <f t="shared" si="69"/>
        <v>#N/A</v>
      </c>
    </row>
    <row r="511" spans="1:45" s="64" customFormat="1" ht="36" customHeight="1" x14ac:dyDescent="0.9">
      <c r="B511" s="91" t="s">
        <v>883</v>
      </c>
      <c r="C511" s="172"/>
      <c r="D511" s="126" t="s">
        <v>916</v>
      </c>
      <c r="E511" s="126" t="s">
        <v>916</v>
      </c>
      <c r="F511" s="126" t="s">
        <v>916</v>
      </c>
      <c r="G511" s="126" t="s">
        <v>916</v>
      </c>
      <c r="H511" s="126" t="s">
        <v>916</v>
      </c>
      <c r="I511" s="117">
        <f>SUM(I512:I517)</f>
        <v>3456.2</v>
      </c>
      <c r="J511" s="117">
        <f>SUM(J512:J517)</f>
        <v>2841.4</v>
      </c>
      <c r="K511" s="117">
        <f>SUM(K512:K517)</f>
        <v>2822.6</v>
      </c>
      <c r="L511" s="127">
        <f>SUM(L512:L517)</f>
        <v>132</v>
      </c>
      <c r="M511" s="126" t="s">
        <v>916</v>
      </c>
      <c r="N511" s="126" t="s">
        <v>916</v>
      </c>
      <c r="O511" s="124" t="s">
        <v>916</v>
      </c>
      <c r="P511" s="118">
        <v>7966049.0899999989</v>
      </c>
      <c r="Q511" s="118">
        <f>SUM(Q512:Q517)</f>
        <v>0</v>
      </c>
      <c r="R511" s="118">
        <f>SUM(R512:R517)</f>
        <v>0</v>
      </c>
      <c r="S511" s="118">
        <f>SUM(S512:S517)</f>
        <v>7966049.0899999989</v>
      </c>
      <c r="T511" s="118">
        <f t="shared" si="72"/>
        <v>2304.8576731670619</v>
      </c>
      <c r="U511" s="118">
        <f>MAX(U512:U517)</f>
        <v>5594.9625996810209</v>
      </c>
      <c r="V511" s="183">
        <f t="shared" si="65"/>
        <v>3290.1049265139591</v>
      </c>
      <c r="W511" s="183"/>
      <c r="X511" s="183"/>
      <c r="Y511" s="64" t="e">
        <f t="shared" si="66"/>
        <v>#N/A</v>
      </c>
      <c r="AA511" s="64" t="e">
        <f t="shared" si="67"/>
        <v>#N/A</v>
      </c>
      <c r="AC511" s="64" t="s">
        <v>605</v>
      </c>
      <c r="AD511" s="64">
        <v>1447</v>
      </c>
      <c r="AH511" s="64" t="e">
        <f t="shared" si="68"/>
        <v>#N/A</v>
      </c>
      <c r="AS511" s="64" t="e">
        <f t="shared" si="69"/>
        <v>#N/A</v>
      </c>
    </row>
    <row r="512" spans="1:45" s="64" customFormat="1" ht="36" customHeight="1" x14ac:dyDescent="0.9">
      <c r="A512" s="64">
        <v>1</v>
      </c>
      <c r="B512" s="92">
        <f>SUBTOTAL(103,$A$16:A512)</f>
        <v>438</v>
      </c>
      <c r="C512" s="91" t="s">
        <v>189</v>
      </c>
      <c r="D512" s="126" t="s">
        <v>310</v>
      </c>
      <c r="E512" s="126"/>
      <c r="F512" s="145" t="s">
        <v>273</v>
      </c>
      <c r="G512" s="126" t="s">
        <v>311</v>
      </c>
      <c r="H512" s="126" t="s">
        <v>312</v>
      </c>
      <c r="I512" s="118">
        <v>250.8</v>
      </c>
      <c r="J512" s="118">
        <v>250.8</v>
      </c>
      <c r="K512" s="118">
        <v>250.8</v>
      </c>
      <c r="L512" s="127">
        <v>13</v>
      </c>
      <c r="M512" s="126" t="s">
        <v>271</v>
      </c>
      <c r="N512" s="126" t="s">
        <v>275</v>
      </c>
      <c r="O512" s="124" t="s">
        <v>1023</v>
      </c>
      <c r="P512" s="118">
        <v>1403216.62</v>
      </c>
      <c r="Q512" s="118">
        <v>0</v>
      </c>
      <c r="R512" s="118">
        <v>0</v>
      </c>
      <c r="S512" s="118">
        <f t="shared" ref="S512:S517" si="73">P512-Q512-R512</f>
        <v>1403216.62</v>
      </c>
      <c r="T512" s="118">
        <f t="shared" si="72"/>
        <v>5594.9625996810209</v>
      </c>
      <c r="U512" s="118">
        <f>T512</f>
        <v>5594.9625996810209</v>
      </c>
      <c r="V512" s="183">
        <f t="shared" si="65"/>
        <v>0</v>
      </c>
      <c r="W512" s="183"/>
      <c r="X512" s="183"/>
      <c r="Y512" s="64">
        <f t="shared" si="66"/>
        <v>5313.4105263157899</v>
      </c>
      <c r="AA512" s="64">
        <f t="shared" si="67"/>
        <v>255.2</v>
      </c>
      <c r="AC512" s="64" t="s">
        <v>607</v>
      </c>
      <c r="AD512" s="64">
        <v>939.1</v>
      </c>
      <c r="AH512" s="64" t="e">
        <f t="shared" si="68"/>
        <v>#N/A</v>
      </c>
      <c r="AS512" s="64" t="e">
        <f t="shared" si="69"/>
        <v>#N/A</v>
      </c>
    </row>
    <row r="513" spans="1:45" s="64" customFormat="1" ht="36" customHeight="1" x14ac:dyDescent="0.9">
      <c r="A513" s="64">
        <v>1</v>
      </c>
      <c r="B513" s="92">
        <f>SUBTOTAL(103,$A$16:A513)</f>
        <v>439</v>
      </c>
      <c r="C513" s="91" t="s">
        <v>188</v>
      </c>
      <c r="D513" s="126" t="s">
        <v>310</v>
      </c>
      <c r="E513" s="126"/>
      <c r="F513" s="145" t="s">
        <v>273</v>
      </c>
      <c r="G513" s="126" t="s">
        <v>311</v>
      </c>
      <c r="H513" s="126" t="s">
        <v>312</v>
      </c>
      <c r="I513" s="118">
        <v>365</v>
      </c>
      <c r="J513" s="118">
        <v>328</v>
      </c>
      <c r="K513" s="118">
        <v>309.2</v>
      </c>
      <c r="L513" s="127">
        <v>8</v>
      </c>
      <c r="M513" s="126" t="s">
        <v>271</v>
      </c>
      <c r="N513" s="126" t="s">
        <v>272</v>
      </c>
      <c r="O513" s="124" t="s">
        <v>274</v>
      </c>
      <c r="P513" s="118">
        <v>1494699.9999999998</v>
      </c>
      <c r="Q513" s="118">
        <v>0</v>
      </c>
      <c r="R513" s="118">
        <v>0</v>
      </c>
      <c r="S513" s="118">
        <f t="shared" si="73"/>
        <v>1494699.9999999998</v>
      </c>
      <c r="T513" s="118">
        <f t="shared" si="72"/>
        <v>4095.0684931506844</v>
      </c>
      <c r="U513" s="118">
        <f>Y513</f>
        <v>4248.9715068493151</v>
      </c>
      <c r="V513" s="183">
        <f t="shared" si="65"/>
        <v>153.90301369863073</v>
      </c>
      <c r="W513" s="183"/>
      <c r="X513" s="183"/>
      <c r="Y513" s="64">
        <f t="shared" si="66"/>
        <v>4248.9715068493151</v>
      </c>
      <c r="AA513" s="64">
        <f t="shared" si="67"/>
        <v>297</v>
      </c>
      <c r="AC513" s="64" t="s">
        <v>608</v>
      </c>
      <c r="AD513" s="64">
        <v>588</v>
      </c>
      <c r="AH513" s="64" t="e">
        <f t="shared" si="68"/>
        <v>#N/A</v>
      </c>
      <c r="AS513" s="64" t="e">
        <f t="shared" si="69"/>
        <v>#N/A</v>
      </c>
    </row>
    <row r="514" spans="1:45" s="64" customFormat="1" ht="36" customHeight="1" x14ac:dyDescent="0.9">
      <c r="A514" s="64">
        <v>1</v>
      </c>
      <c r="B514" s="92">
        <f>SUBTOTAL(103,$A$16:A514)</f>
        <v>440</v>
      </c>
      <c r="C514" s="91" t="s">
        <v>1299</v>
      </c>
      <c r="D514" s="126">
        <v>1917</v>
      </c>
      <c r="E514" s="126"/>
      <c r="F514" s="145" t="s">
        <v>273</v>
      </c>
      <c r="G514" s="126">
        <v>2</v>
      </c>
      <c r="H514" s="126">
        <v>1</v>
      </c>
      <c r="I514" s="118">
        <v>513</v>
      </c>
      <c r="J514" s="118">
        <v>316.7</v>
      </c>
      <c r="K514" s="118">
        <v>316.7</v>
      </c>
      <c r="L514" s="127">
        <v>21</v>
      </c>
      <c r="M514" s="126" t="s">
        <v>271</v>
      </c>
      <c r="N514" s="126" t="s">
        <v>275</v>
      </c>
      <c r="O514" s="124" t="s">
        <v>1341</v>
      </c>
      <c r="P514" s="118">
        <v>2173966.8199999998</v>
      </c>
      <c r="Q514" s="118">
        <v>0</v>
      </c>
      <c r="R514" s="118">
        <v>0</v>
      </c>
      <c r="S514" s="118">
        <f t="shared" si="73"/>
        <v>2173966.8199999998</v>
      </c>
      <c r="T514" s="118">
        <f t="shared" si="72"/>
        <v>4237.7520857699801</v>
      </c>
      <c r="U514" s="118">
        <f>Y514</f>
        <v>4452.2715789473677</v>
      </c>
      <c r="V514" s="183">
        <f t="shared" si="65"/>
        <v>214.51949317738763</v>
      </c>
      <c r="W514" s="183"/>
      <c r="X514" s="183"/>
      <c r="Y514" s="64">
        <f t="shared" si="66"/>
        <v>4452.2715789473677</v>
      </c>
      <c r="AA514" s="64">
        <f t="shared" si="67"/>
        <v>437.4</v>
      </c>
      <c r="AC514" s="64" t="s">
        <v>610</v>
      </c>
      <c r="AD514" s="64">
        <v>562</v>
      </c>
      <c r="AH514" s="64" t="e">
        <f t="shared" si="68"/>
        <v>#N/A</v>
      </c>
      <c r="AS514" s="64" t="e">
        <f t="shared" si="69"/>
        <v>#N/A</v>
      </c>
    </row>
    <row r="515" spans="1:45" s="64" customFormat="1" ht="36" customHeight="1" x14ac:dyDescent="0.9">
      <c r="A515" s="64">
        <v>1</v>
      </c>
      <c r="B515" s="92">
        <f>SUBTOTAL(103,$A$16:A515)</f>
        <v>441</v>
      </c>
      <c r="C515" s="91" t="s">
        <v>1300</v>
      </c>
      <c r="D515" s="126">
        <v>1917</v>
      </c>
      <c r="E515" s="126"/>
      <c r="F515" s="145" t="s">
        <v>273</v>
      </c>
      <c r="G515" s="126">
        <v>2</v>
      </c>
      <c r="H515" s="126">
        <v>1</v>
      </c>
      <c r="I515" s="118">
        <v>483.1</v>
      </c>
      <c r="J515" s="118">
        <v>426.2</v>
      </c>
      <c r="K515" s="118">
        <v>426.2</v>
      </c>
      <c r="L515" s="127">
        <v>28</v>
      </c>
      <c r="M515" s="126" t="s">
        <v>271</v>
      </c>
      <c r="N515" s="126" t="s">
        <v>275</v>
      </c>
      <c r="O515" s="124" t="s">
        <v>1379</v>
      </c>
      <c r="P515" s="118">
        <v>1441821.96</v>
      </c>
      <c r="Q515" s="118">
        <v>0</v>
      </c>
      <c r="R515" s="118">
        <v>0</v>
      </c>
      <c r="S515" s="118">
        <f t="shared" si="73"/>
        <v>1441821.96</v>
      </c>
      <c r="T515" s="118">
        <f t="shared" si="72"/>
        <v>2984.5207203477539</v>
      </c>
      <c r="U515" s="118">
        <f>Y515</f>
        <v>4410.0484371765679</v>
      </c>
      <c r="V515" s="183">
        <f t="shared" si="65"/>
        <v>1425.5277168288139</v>
      </c>
      <c r="W515" s="183"/>
      <c r="X515" s="183"/>
      <c r="Y515" s="64">
        <f t="shared" si="66"/>
        <v>4410.0484371765679</v>
      </c>
      <c r="AA515" s="64">
        <f t="shared" si="67"/>
        <v>408</v>
      </c>
      <c r="AC515" s="64" t="s">
        <v>611</v>
      </c>
      <c r="AD515" s="64">
        <v>400</v>
      </c>
      <c r="AH515" s="64" t="e">
        <f t="shared" si="68"/>
        <v>#N/A</v>
      </c>
      <c r="AS515" s="64" t="e">
        <f t="shared" si="69"/>
        <v>#N/A</v>
      </c>
    </row>
    <row r="516" spans="1:45" s="64" customFormat="1" ht="36" customHeight="1" x14ac:dyDescent="0.9">
      <c r="A516" s="64">
        <v>1</v>
      </c>
      <c r="B516" s="92">
        <f>SUBTOTAL(103,$A$16:A516)</f>
        <v>442</v>
      </c>
      <c r="C516" s="91" t="s">
        <v>1301</v>
      </c>
      <c r="D516" s="126">
        <v>1967</v>
      </c>
      <c r="E516" s="126">
        <v>2014</v>
      </c>
      <c r="F516" s="145" t="s">
        <v>273</v>
      </c>
      <c r="G516" s="126">
        <v>2</v>
      </c>
      <c r="H516" s="126">
        <v>4</v>
      </c>
      <c r="I516" s="118">
        <v>919.3</v>
      </c>
      <c r="J516" s="118">
        <v>760.3</v>
      </c>
      <c r="K516" s="118">
        <v>760.3</v>
      </c>
      <c r="L516" s="127">
        <v>34</v>
      </c>
      <c r="M516" s="126" t="s">
        <v>271</v>
      </c>
      <c r="N516" s="126" t="s">
        <v>275</v>
      </c>
      <c r="O516" s="124" t="s">
        <v>1380</v>
      </c>
      <c r="P516" s="118">
        <v>725838.89999999991</v>
      </c>
      <c r="Q516" s="118">
        <v>0</v>
      </c>
      <c r="R516" s="118">
        <v>0</v>
      </c>
      <c r="S516" s="118">
        <f t="shared" si="73"/>
        <v>725838.89999999991</v>
      </c>
      <c r="T516" s="118">
        <f t="shared" si="72"/>
        <v>789.55607527466543</v>
      </c>
      <c r="U516" s="118">
        <f>T516</f>
        <v>789.55607527466543</v>
      </c>
      <c r="V516" s="183">
        <f t="shared" si="65"/>
        <v>0</v>
      </c>
      <c r="W516" s="183"/>
      <c r="X516" s="183"/>
      <c r="Y516" s="64" t="e">
        <f t="shared" si="66"/>
        <v>#N/A</v>
      </c>
      <c r="AA516" s="64" t="e">
        <f t="shared" si="67"/>
        <v>#N/A</v>
      </c>
      <c r="AC516" s="64" t="s">
        <v>612</v>
      </c>
      <c r="AD516" s="64">
        <v>960</v>
      </c>
      <c r="AH516" s="64" t="e">
        <f t="shared" si="68"/>
        <v>#N/A</v>
      </c>
      <c r="AS516" s="64" t="e">
        <f t="shared" si="69"/>
        <v>#N/A</v>
      </c>
    </row>
    <row r="517" spans="1:45" s="64" customFormat="1" ht="36" customHeight="1" x14ac:dyDescent="0.9">
      <c r="A517" s="64">
        <v>1</v>
      </c>
      <c r="B517" s="92">
        <f>SUBTOTAL(103,$A$16:A517)</f>
        <v>443</v>
      </c>
      <c r="C517" s="91" t="s">
        <v>1302</v>
      </c>
      <c r="D517" s="126">
        <v>1967</v>
      </c>
      <c r="E517" s="126">
        <v>2014</v>
      </c>
      <c r="F517" s="145" t="s">
        <v>273</v>
      </c>
      <c r="G517" s="126">
        <v>2</v>
      </c>
      <c r="H517" s="126">
        <v>4</v>
      </c>
      <c r="I517" s="118">
        <v>925</v>
      </c>
      <c r="J517" s="118">
        <v>759.4</v>
      </c>
      <c r="K517" s="118">
        <v>759.4</v>
      </c>
      <c r="L517" s="127">
        <v>28</v>
      </c>
      <c r="M517" s="126" t="s">
        <v>271</v>
      </c>
      <c r="N517" s="126" t="s">
        <v>275</v>
      </c>
      <c r="O517" s="124" t="s">
        <v>1380</v>
      </c>
      <c r="P517" s="118">
        <v>726504.79</v>
      </c>
      <c r="Q517" s="118">
        <v>0</v>
      </c>
      <c r="R517" s="118">
        <v>0</v>
      </c>
      <c r="S517" s="118">
        <f t="shared" si="73"/>
        <v>726504.79</v>
      </c>
      <c r="T517" s="118">
        <f t="shared" si="72"/>
        <v>785.41058378378386</v>
      </c>
      <c r="U517" s="118">
        <f>T517</f>
        <v>785.41058378378386</v>
      </c>
      <c r="V517" s="183">
        <f t="shared" si="65"/>
        <v>0</v>
      </c>
      <c r="W517" s="183"/>
      <c r="X517" s="183"/>
      <c r="Y517" s="64" t="e">
        <f t="shared" si="66"/>
        <v>#N/A</v>
      </c>
      <c r="AA517" s="64" t="e">
        <f t="shared" si="67"/>
        <v>#N/A</v>
      </c>
      <c r="AC517" s="64" t="s">
        <v>613</v>
      </c>
      <c r="AD517" s="64">
        <v>960</v>
      </c>
      <c r="AH517" s="64" t="e">
        <f t="shared" si="68"/>
        <v>#N/A</v>
      </c>
      <c r="AS517" s="64" t="e">
        <f t="shared" si="69"/>
        <v>#N/A</v>
      </c>
    </row>
    <row r="518" spans="1:45" s="64" customFormat="1" ht="36" customHeight="1" x14ac:dyDescent="0.9">
      <c r="B518" s="91" t="s">
        <v>884</v>
      </c>
      <c r="C518" s="91"/>
      <c r="D518" s="126" t="s">
        <v>916</v>
      </c>
      <c r="E518" s="126" t="s">
        <v>916</v>
      </c>
      <c r="F518" s="126" t="s">
        <v>916</v>
      </c>
      <c r="G518" s="126" t="s">
        <v>916</v>
      </c>
      <c r="H518" s="126" t="s">
        <v>916</v>
      </c>
      <c r="I518" s="117">
        <f>I519</f>
        <v>1755.2</v>
      </c>
      <c r="J518" s="117">
        <f>J519</f>
        <v>1537.2</v>
      </c>
      <c r="K518" s="117">
        <f>K519</f>
        <v>1537.2</v>
      </c>
      <c r="L518" s="127">
        <f>L519</f>
        <v>63</v>
      </c>
      <c r="M518" s="126" t="s">
        <v>916</v>
      </c>
      <c r="N518" s="126" t="s">
        <v>916</v>
      </c>
      <c r="O518" s="124" t="s">
        <v>916</v>
      </c>
      <c r="P518" s="118">
        <v>4880587.2799999993</v>
      </c>
      <c r="Q518" s="118">
        <f>Q519</f>
        <v>0</v>
      </c>
      <c r="R518" s="118">
        <f>R519</f>
        <v>0</v>
      </c>
      <c r="S518" s="118">
        <f>S519</f>
        <v>4880587.2799999993</v>
      </c>
      <c r="T518" s="118">
        <f t="shared" si="72"/>
        <v>2780.6445305378302</v>
      </c>
      <c r="U518" s="118">
        <f>U519</f>
        <v>3060.1318824065629</v>
      </c>
      <c r="V518" s="183">
        <f t="shared" si="65"/>
        <v>279.48735186873273</v>
      </c>
      <c r="W518" s="183"/>
      <c r="X518" s="183"/>
      <c r="Y518" s="64" t="e">
        <f t="shared" si="66"/>
        <v>#N/A</v>
      </c>
      <c r="AA518" s="64" t="e">
        <f t="shared" si="67"/>
        <v>#N/A</v>
      </c>
      <c r="AC518" s="64" t="s">
        <v>614</v>
      </c>
      <c r="AD518" s="64">
        <v>364.8</v>
      </c>
      <c r="AH518" s="64" t="e">
        <f t="shared" si="68"/>
        <v>#N/A</v>
      </c>
      <c r="AS518" s="64" t="e">
        <f t="shared" si="69"/>
        <v>#N/A</v>
      </c>
    </row>
    <row r="519" spans="1:45" s="64" customFormat="1" ht="36" customHeight="1" x14ac:dyDescent="0.9">
      <c r="A519" s="64">
        <v>1</v>
      </c>
      <c r="B519" s="92">
        <f>SUBTOTAL(103,$A$16:A519)</f>
        <v>444</v>
      </c>
      <c r="C519" s="91" t="s">
        <v>192</v>
      </c>
      <c r="D519" s="126">
        <v>1959</v>
      </c>
      <c r="E519" s="126"/>
      <c r="F519" s="145" t="s">
        <v>273</v>
      </c>
      <c r="G519" s="126">
        <v>3</v>
      </c>
      <c r="H519" s="126">
        <v>4</v>
      </c>
      <c r="I519" s="118">
        <v>1755.2</v>
      </c>
      <c r="J519" s="118">
        <v>1537.2</v>
      </c>
      <c r="K519" s="118">
        <v>1537.2</v>
      </c>
      <c r="L519" s="127">
        <v>63</v>
      </c>
      <c r="M519" s="126" t="s">
        <v>271</v>
      </c>
      <c r="N519" s="126" t="s">
        <v>272</v>
      </c>
      <c r="O519" s="124" t="s">
        <v>274</v>
      </c>
      <c r="P519" s="118">
        <v>4880587.2799999993</v>
      </c>
      <c r="Q519" s="118">
        <v>0</v>
      </c>
      <c r="R519" s="118">
        <v>0</v>
      </c>
      <c r="S519" s="118">
        <f>P519-Q519-R519</f>
        <v>4880587.2799999993</v>
      </c>
      <c r="T519" s="118">
        <f t="shared" si="72"/>
        <v>2780.6445305378302</v>
      </c>
      <c r="U519" s="118">
        <f>Y519</f>
        <v>3060.1318824065629</v>
      </c>
      <c r="V519" s="183">
        <f t="shared" si="65"/>
        <v>279.48735186873273</v>
      </c>
      <c r="W519" s="183"/>
      <c r="X519" s="183"/>
      <c r="Y519" s="64">
        <f t="shared" si="66"/>
        <v>3060.1318824065629</v>
      </c>
      <c r="AA519" s="64">
        <f t="shared" si="67"/>
        <v>1028.5999999999999</v>
      </c>
      <c r="AC519" s="64" t="s">
        <v>615</v>
      </c>
      <c r="AD519" s="64">
        <v>960</v>
      </c>
      <c r="AH519" s="64" t="e">
        <f t="shared" si="68"/>
        <v>#N/A</v>
      </c>
      <c r="AS519" s="64" t="e">
        <f t="shared" si="69"/>
        <v>#N/A</v>
      </c>
    </row>
    <row r="520" spans="1:45" s="64" customFormat="1" ht="36" customHeight="1" x14ac:dyDescent="0.9">
      <c r="B520" s="91" t="s">
        <v>885</v>
      </c>
      <c r="C520" s="91"/>
      <c r="D520" s="126" t="s">
        <v>916</v>
      </c>
      <c r="E520" s="126" t="s">
        <v>916</v>
      </c>
      <c r="F520" s="126" t="s">
        <v>916</v>
      </c>
      <c r="G520" s="126" t="s">
        <v>916</v>
      </c>
      <c r="H520" s="126" t="s">
        <v>916</v>
      </c>
      <c r="I520" s="117">
        <f>I521+I522</f>
        <v>4920.8999999999996</v>
      </c>
      <c r="J520" s="117">
        <f>J521+J522</f>
        <v>2992.2999999999997</v>
      </c>
      <c r="K520" s="117">
        <f>K521+K522</f>
        <v>677.6</v>
      </c>
      <c r="L520" s="127">
        <f>L521+L522</f>
        <v>133</v>
      </c>
      <c r="M520" s="126" t="s">
        <v>916</v>
      </c>
      <c r="N520" s="126" t="s">
        <v>916</v>
      </c>
      <c r="O520" s="124" t="s">
        <v>916</v>
      </c>
      <c r="P520" s="117">
        <v>8957085.8399999999</v>
      </c>
      <c r="Q520" s="117">
        <f>Q521+Q522</f>
        <v>0</v>
      </c>
      <c r="R520" s="117">
        <f>R521+R522</f>
        <v>0</v>
      </c>
      <c r="S520" s="117">
        <f>S521+S522</f>
        <v>8957085.8399999999</v>
      </c>
      <c r="T520" s="118">
        <f t="shared" si="72"/>
        <v>1820.2129366579286</v>
      </c>
      <c r="U520" s="118">
        <f>MAX(U521:U522)</f>
        <v>7025.8158215331068</v>
      </c>
      <c r="V520" s="183">
        <f t="shared" si="65"/>
        <v>5205.6028848751785</v>
      </c>
      <c r="W520" s="183"/>
      <c r="X520" s="183"/>
      <c r="Y520" s="64" t="e">
        <f t="shared" si="66"/>
        <v>#N/A</v>
      </c>
      <c r="AA520" s="64" t="e">
        <f t="shared" si="67"/>
        <v>#N/A</v>
      </c>
      <c r="AC520" s="64" t="s">
        <v>616</v>
      </c>
      <c r="AD520" s="64">
        <v>960</v>
      </c>
      <c r="AH520" s="64" t="e">
        <f t="shared" si="68"/>
        <v>#N/A</v>
      </c>
      <c r="AS520" s="64" t="e">
        <f t="shared" si="69"/>
        <v>#N/A</v>
      </c>
    </row>
    <row r="521" spans="1:45" s="64" customFormat="1" ht="36" customHeight="1" x14ac:dyDescent="0.9">
      <c r="A521" s="64">
        <v>1</v>
      </c>
      <c r="B521" s="92">
        <f>SUBTOTAL(103,$A$16:A521)</f>
        <v>445</v>
      </c>
      <c r="C521" s="91" t="s">
        <v>191</v>
      </c>
      <c r="D521" s="126" t="s">
        <v>313</v>
      </c>
      <c r="E521" s="126"/>
      <c r="F521" s="145" t="s">
        <v>273</v>
      </c>
      <c r="G521" s="126" t="s">
        <v>311</v>
      </c>
      <c r="H521" s="126" t="s">
        <v>311</v>
      </c>
      <c r="I521" s="118">
        <v>729.9</v>
      </c>
      <c r="J521" s="118">
        <v>464.1</v>
      </c>
      <c r="K521" s="118">
        <v>464.1</v>
      </c>
      <c r="L521" s="127">
        <v>37</v>
      </c>
      <c r="M521" s="126" t="s">
        <v>271</v>
      </c>
      <c r="N521" s="126" t="s">
        <v>275</v>
      </c>
      <c r="O521" s="124" t="s">
        <v>1024</v>
      </c>
      <c r="P521" s="118">
        <v>3170281.3600000003</v>
      </c>
      <c r="Q521" s="118">
        <v>0</v>
      </c>
      <c r="R521" s="118">
        <v>0</v>
      </c>
      <c r="S521" s="118">
        <f>P521-Q521-R521</f>
        <v>3170281.3600000003</v>
      </c>
      <c r="T521" s="118">
        <f t="shared" si="72"/>
        <v>4343.4461707083165</v>
      </c>
      <c r="U521" s="118">
        <f>T521</f>
        <v>4343.4461707083165</v>
      </c>
      <c r="V521" s="183">
        <f t="shared" si="65"/>
        <v>0</v>
      </c>
      <c r="W521" s="183"/>
      <c r="X521" s="183"/>
      <c r="Y521" s="64">
        <f t="shared" si="66"/>
        <v>4137.9491985203458</v>
      </c>
      <c r="AA521" s="64">
        <f t="shared" si="67"/>
        <v>578.4</v>
      </c>
      <c r="AC521" s="64" t="s">
        <v>617</v>
      </c>
      <c r="AD521" s="64">
        <v>670</v>
      </c>
      <c r="AH521" s="64" t="e">
        <f t="shared" si="68"/>
        <v>#N/A</v>
      </c>
      <c r="AS521" s="64" t="e">
        <f t="shared" si="69"/>
        <v>#N/A</v>
      </c>
    </row>
    <row r="522" spans="1:45" s="64" customFormat="1" ht="36" customHeight="1" x14ac:dyDescent="0.9">
      <c r="A522" s="64">
        <v>1</v>
      </c>
      <c r="B522" s="92">
        <f>SUBTOTAL(103,$A$16:A522)</f>
        <v>446</v>
      </c>
      <c r="C522" s="91" t="s">
        <v>1597</v>
      </c>
      <c r="D522" s="126">
        <v>1977</v>
      </c>
      <c r="E522" s="126"/>
      <c r="F522" s="145" t="s">
        <v>273</v>
      </c>
      <c r="G522" s="126">
        <v>5</v>
      </c>
      <c r="H522" s="126">
        <v>1</v>
      </c>
      <c r="I522" s="118">
        <v>4191</v>
      </c>
      <c r="J522" s="118">
        <v>2528.1999999999998</v>
      </c>
      <c r="K522" s="118">
        <v>213.5</v>
      </c>
      <c r="L522" s="127">
        <v>96</v>
      </c>
      <c r="M522" s="126" t="s">
        <v>271</v>
      </c>
      <c r="N522" s="126" t="s">
        <v>275</v>
      </c>
      <c r="O522" s="124" t="s">
        <v>1634</v>
      </c>
      <c r="P522" s="118">
        <v>5786804.4800000004</v>
      </c>
      <c r="Q522" s="118">
        <v>0</v>
      </c>
      <c r="R522" s="118">
        <v>0</v>
      </c>
      <c r="S522" s="118">
        <f>P522-R522-Q522</f>
        <v>5786804.4800000004</v>
      </c>
      <c r="T522" s="118">
        <f t="shared" si="72"/>
        <v>1380.7693820090672</v>
      </c>
      <c r="U522" s="118">
        <f>AG522</f>
        <v>7025.8158215331068</v>
      </c>
      <c r="V522" s="183">
        <f t="shared" si="65"/>
        <v>5645.0464395240397</v>
      </c>
      <c r="W522" s="183"/>
      <c r="X522" s="183"/>
      <c r="Y522" s="64" t="e">
        <f t="shared" si="66"/>
        <v>#N/A</v>
      </c>
      <c r="AA522" s="64" t="e">
        <f t="shared" si="67"/>
        <v>#N/A</v>
      </c>
      <c r="AC522" s="64" t="s">
        <v>618</v>
      </c>
      <c r="AD522" s="64">
        <v>235</v>
      </c>
      <c r="AG522" s="64">
        <f>AH522*6191.24/J522</f>
        <v>7025.8158215331068</v>
      </c>
      <c r="AH522" s="64">
        <f t="shared" si="68"/>
        <v>2869</v>
      </c>
      <c r="AS522" s="64" t="e">
        <f t="shared" si="69"/>
        <v>#N/A</v>
      </c>
    </row>
    <row r="523" spans="1:45" s="64" customFormat="1" ht="36" customHeight="1" x14ac:dyDescent="0.9">
      <c r="B523" s="91" t="s">
        <v>886</v>
      </c>
      <c r="C523" s="91"/>
      <c r="D523" s="126" t="s">
        <v>916</v>
      </c>
      <c r="E523" s="126" t="s">
        <v>916</v>
      </c>
      <c r="F523" s="126" t="s">
        <v>916</v>
      </c>
      <c r="G523" s="126" t="s">
        <v>916</v>
      </c>
      <c r="H523" s="126" t="s">
        <v>916</v>
      </c>
      <c r="I523" s="117">
        <f>I524</f>
        <v>428.4</v>
      </c>
      <c r="J523" s="117">
        <f>J524</f>
        <v>385.4</v>
      </c>
      <c r="K523" s="117">
        <f>K524</f>
        <v>385.4</v>
      </c>
      <c r="L523" s="127">
        <f>L524</f>
        <v>20</v>
      </c>
      <c r="M523" s="126" t="s">
        <v>916</v>
      </c>
      <c r="N523" s="126" t="s">
        <v>916</v>
      </c>
      <c r="O523" s="124" t="s">
        <v>916</v>
      </c>
      <c r="P523" s="118">
        <v>2644709.0300000003</v>
      </c>
      <c r="Q523" s="118">
        <f>Q524</f>
        <v>0</v>
      </c>
      <c r="R523" s="118">
        <f>R524</f>
        <v>0</v>
      </c>
      <c r="S523" s="118">
        <f>S524</f>
        <v>2644709.0300000003</v>
      </c>
      <c r="T523" s="118">
        <f t="shared" si="72"/>
        <v>6173.4571195144736</v>
      </c>
      <c r="U523" s="118">
        <f>T523</f>
        <v>6173.4571195144736</v>
      </c>
      <c r="V523" s="183">
        <f t="shared" si="65"/>
        <v>0</v>
      </c>
      <c r="W523" s="183"/>
      <c r="X523" s="183"/>
      <c r="Y523" s="64" t="e">
        <f t="shared" si="66"/>
        <v>#N/A</v>
      </c>
      <c r="AA523" s="64" t="e">
        <f t="shared" si="67"/>
        <v>#N/A</v>
      </c>
      <c r="AC523" s="64" t="s">
        <v>619</v>
      </c>
      <c r="AD523" s="64">
        <v>765</v>
      </c>
      <c r="AH523" s="64" t="e">
        <f t="shared" si="68"/>
        <v>#N/A</v>
      </c>
      <c r="AS523" s="64" t="e">
        <f t="shared" si="69"/>
        <v>#N/A</v>
      </c>
    </row>
    <row r="524" spans="1:45" s="64" customFormat="1" ht="36" customHeight="1" x14ac:dyDescent="0.9">
      <c r="A524" s="64">
        <v>1</v>
      </c>
      <c r="B524" s="92">
        <f>SUBTOTAL(103,$A$16:A524)</f>
        <v>447</v>
      </c>
      <c r="C524" s="91" t="s">
        <v>190</v>
      </c>
      <c r="D524" s="126" t="s">
        <v>314</v>
      </c>
      <c r="E524" s="126"/>
      <c r="F524" s="145" t="s">
        <v>273</v>
      </c>
      <c r="G524" s="126" t="s">
        <v>311</v>
      </c>
      <c r="H524" s="126" t="s">
        <v>311</v>
      </c>
      <c r="I524" s="118">
        <v>428.4</v>
      </c>
      <c r="J524" s="118">
        <v>385.4</v>
      </c>
      <c r="K524" s="118">
        <v>385.4</v>
      </c>
      <c r="L524" s="127">
        <v>20</v>
      </c>
      <c r="M524" s="126" t="s">
        <v>271</v>
      </c>
      <c r="N524" s="126" t="s">
        <v>272</v>
      </c>
      <c r="O524" s="124" t="s">
        <v>274</v>
      </c>
      <c r="P524" s="118">
        <v>2644709.0300000003</v>
      </c>
      <c r="Q524" s="118">
        <v>0</v>
      </c>
      <c r="R524" s="118">
        <v>0</v>
      </c>
      <c r="S524" s="118">
        <f>P524-Q524-R524</f>
        <v>2644709.0300000003</v>
      </c>
      <c r="T524" s="118">
        <f t="shared" si="72"/>
        <v>6173.4571195144736</v>
      </c>
      <c r="U524" s="118">
        <f>T524</f>
        <v>6173.4571195144736</v>
      </c>
      <c r="V524" s="183">
        <f t="shared" si="65"/>
        <v>0</v>
      </c>
      <c r="W524" s="183"/>
      <c r="X524" s="183"/>
      <c r="Y524" s="64">
        <f t="shared" si="66"/>
        <v>4607.4705882352946</v>
      </c>
      <c r="AA524" s="64">
        <f t="shared" si="67"/>
        <v>378</v>
      </c>
      <c r="AC524" s="64" t="s">
        <v>620</v>
      </c>
      <c r="AD524" s="64">
        <v>760.2</v>
      </c>
      <c r="AH524" s="64" t="e">
        <f t="shared" si="68"/>
        <v>#N/A</v>
      </c>
      <c r="AS524" s="64" t="e">
        <f t="shared" si="69"/>
        <v>#N/A</v>
      </c>
    </row>
    <row r="525" spans="1:45" s="64" customFormat="1" ht="36" customHeight="1" x14ac:dyDescent="0.9">
      <c r="B525" s="91" t="s">
        <v>887</v>
      </c>
      <c r="C525" s="172"/>
      <c r="D525" s="126" t="s">
        <v>916</v>
      </c>
      <c r="E525" s="126" t="s">
        <v>916</v>
      </c>
      <c r="F525" s="126" t="s">
        <v>916</v>
      </c>
      <c r="G525" s="126" t="s">
        <v>916</v>
      </c>
      <c r="H525" s="126" t="s">
        <v>916</v>
      </c>
      <c r="I525" s="117">
        <f>SUM(I526:I533)</f>
        <v>11982.3</v>
      </c>
      <c r="J525" s="117">
        <f>SUM(J526:J533)</f>
        <v>9878.380000000001</v>
      </c>
      <c r="K525" s="117">
        <f>SUM(K526:K533)</f>
        <v>8520.4</v>
      </c>
      <c r="L525" s="127">
        <f>SUM(L526:L533)</f>
        <v>561</v>
      </c>
      <c r="M525" s="126" t="s">
        <v>916</v>
      </c>
      <c r="N525" s="126" t="s">
        <v>916</v>
      </c>
      <c r="O525" s="124" t="s">
        <v>916</v>
      </c>
      <c r="P525" s="117">
        <v>18641834.120000001</v>
      </c>
      <c r="Q525" s="117">
        <f>SUM(Q526:Q533)</f>
        <v>0</v>
      </c>
      <c r="R525" s="117">
        <f>SUM(R526:R533)</f>
        <v>0</v>
      </c>
      <c r="S525" s="117">
        <f>SUM(S526:S533)</f>
        <v>18641834.120000001</v>
      </c>
      <c r="T525" s="118">
        <f t="shared" si="72"/>
        <v>1555.7809535731874</v>
      </c>
      <c r="U525" s="118">
        <f>MAX(U526:U533)</f>
        <v>2768.0599183048253</v>
      </c>
      <c r="V525" s="183">
        <f t="shared" si="65"/>
        <v>1212.2789647316379</v>
      </c>
      <c r="W525" s="183"/>
      <c r="X525" s="183"/>
      <c r="Y525" s="64" t="e">
        <f t="shared" si="66"/>
        <v>#N/A</v>
      </c>
      <c r="AA525" s="64" t="e">
        <f t="shared" si="67"/>
        <v>#N/A</v>
      </c>
      <c r="AC525" s="64" t="s">
        <v>621</v>
      </c>
      <c r="AD525" s="64">
        <v>571.76</v>
      </c>
      <c r="AH525" s="64" t="e">
        <f t="shared" si="68"/>
        <v>#N/A</v>
      </c>
      <c r="AS525" s="64" t="e">
        <f t="shared" si="69"/>
        <v>#N/A</v>
      </c>
    </row>
    <row r="526" spans="1:45" s="64" customFormat="1" ht="36" customHeight="1" x14ac:dyDescent="0.9">
      <c r="A526" s="64">
        <v>1</v>
      </c>
      <c r="B526" s="92">
        <f>SUBTOTAL(103,$A$16:A526)</f>
        <v>448</v>
      </c>
      <c r="C526" s="91" t="s">
        <v>221</v>
      </c>
      <c r="D526" s="126">
        <v>1974</v>
      </c>
      <c r="E526" s="126"/>
      <c r="F526" s="145" t="s">
        <v>273</v>
      </c>
      <c r="G526" s="126">
        <v>5</v>
      </c>
      <c r="H526" s="126">
        <v>4</v>
      </c>
      <c r="I526" s="118">
        <v>3601.7</v>
      </c>
      <c r="J526" s="118">
        <v>3307.8</v>
      </c>
      <c r="K526" s="118">
        <v>3214.4</v>
      </c>
      <c r="L526" s="127">
        <v>129</v>
      </c>
      <c r="M526" s="126" t="s">
        <v>271</v>
      </c>
      <c r="N526" s="126" t="s">
        <v>275</v>
      </c>
      <c r="O526" s="124" t="s">
        <v>340</v>
      </c>
      <c r="P526" s="118">
        <v>5899949.1799999997</v>
      </c>
      <c r="Q526" s="118">
        <v>0</v>
      </c>
      <c r="R526" s="118">
        <v>0</v>
      </c>
      <c r="S526" s="118">
        <f t="shared" ref="S526:S531" si="74">P526-Q526-R526</f>
        <v>5899949.1799999997</v>
      </c>
      <c r="T526" s="118">
        <f t="shared" si="72"/>
        <v>1638.1012244218009</v>
      </c>
      <c r="U526" s="118">
        <f>T526</f>
        <v>1638.1012244218009</v>
      </c>
      <c r="V526" s="183">
        <f t="shared" si="65"/>
        <v>0</v>
      </c>
      <c r="W526" s="183"/>
      <c r="X526" s="183"/>
      <c r="Y526" s="64">
        <f t="shared" si="66"/>
        <v>1532.5563278451843</v>
      </c>
      <c r="AA526" s="64">
        <f t="shared" si="67"/>
        <v>1057.07</v>
      </c>
      <c r="AC526" s="64" t="s">
        <v>1412</v>
      </c>
      <c r="AD526" s="64">
        <v>2314</v>
      </c>
      <c r="AH526" s="64" t="e">
        <f t="shared" si="68"/>
        <v>#N/A</v>
      </c>
      <c r="AS526" s="64" t="e">
        <f t="shared" si="69"/>
        <v>#N/A</v>
      </c>
    </row>
    <row r="527" spans="1:45" s="64" customFormat="1" ht="36" customHeight="1" x14ac:dyDescent="0.9">
      <c r="A527" s="64">
        <v>1</v>
      </c>
      <c r="B527" s="92">
        <f>SUBTOTAL(103,$A$16:A527)</f>
        <v>449</v>
      </c>
      <c r="C527" s="91" t="s">
        <v>222</v>
      </c>
      <c r="D527" s="126">
        <v>1992</v>
      </c>
      <c r="E527" s="126"/>
      <c r="F527" s="145" t="s">
        <v>319</v>
      </c>
      <c r="G527" s="126">
        <v>2</v>
      </c>
      <c r="H527" s="126">
        <v>2</v>
      </c>
      <c r="I527" s="118">
        <v>690.3</v>
      </c>
      <c r="J527" s="118">
        <v>630.29999999999995</v>
      </c>
      <c r="K527" s="118">
        <v>630.29999999999995</v>
      </c>
      <c r="L527" s="127">
        <v>25</v>
      </c>
      <c r="M527" s="126" t="s">
        <v>271</v>
      </c>
      <c r="N527" s="126" t="s">
        <v>275</v>
      </c>
      <c r="O527" s="124" t="s">
        <v>340</v>
      </c>
      <c r="P527" s="118">
        <v>706896.33000000007</v>
      </c>
      <c r="Q527" s="118">
        <v>0</v>
      </c>
      <c r="R527" s="118">
        <v>0</v>
      </c>
      <c r="S527" s="118">
        <f t="shared" si="74"/>
        <v>706896.33000000007</v>
      </c>
      <c r="T527" s="118">
        <f t="shared" si="72"/>
        <v>1024.0421990438942</v>
      </c>
      <c r="U527" s="118">
        <v>2753.19</v>
      </c>
      <c r="V527" s="183">
        <f t="shared" si="65"/>
        <v>1729.1478009561058</v>
      </c>
      <c r="W527" s="183"/>
      <c r="X527" s="183"/>
      <c r="Y527" s="64" t="e">
        <f t="shared" si="66"/>
        <v>#N/A</v>
      </c>
      <c r="AA527" s="64" t="e">
        <f t="shared" si="67"/>
        <v>#N/A</v>
      </c>
      <c r="AC527" s="64" t="s">
        <v>1687</v>
      </c>
      <c r="AD527" s="64">
        <v>1196</v>
      </c>
      <c r="AH527" s="64" t="e">
        <f t="shared" si="68"/>
        <v>#N/A</v>
      </c>
      <c r="AS527" s="64" t="e">
        <f t="shared" si="69"/>
        <v>#N/A</v>
      </c>
    </row>
    <row r="528" spans="1:45" s="64" customFormat="1" ht="36" customHeight="1" x14ac:dyDescent="0.9">
      <c r="A528" s="64">
        <v>1</v>
      </c>
      <c r="B528" s="92">
        <f>SUBTOTAL(103,$A$16:A528)</f>
        <v>450</v>
      </c>
      <c r="C528" s="91" t="s">
        <v>1303</v>
      </c>
      <c r="D528" s="126">
        <v>1967</v>
      </c>
      <c r="E528" s="126"/>
      <c r="F528" s="145" t="s">
        <v>273</v>
      </c>
      <c r="G528" s="126">
        <v>4</v>
      </c>
      <c r="H528" s="126">
        <v>2</v>
      </c>
      <c r="I528" s="118">
        <v>2162.6999999999998</v>
      </c>
      <c r="J528" s="118">
        <v>1343.3</v>
      </c>
      <c r="K528" s="118">
        <v>620.5</v>
      </c>
      <c r="L528" s="127">
        <v>138</v>
      </c>
      <c r="M528" s="126" t="s">
        <v>271</v>
      </c>
      <c r="N528" s="126" t="s">
        <v>275</v>
      </c>
      <c r="O528" s="124" t="s">
        <v>1331</v>
      </c>
      <c r="P528" s="118">
        <v>3239861.98</v>
      </c>
      <c r="Q528" s="118">
        <v>0</v>
      </c>
      <c r="R528" s="118">
        <v>0</v>
      </c>
      <c r="S528" s="118">
        <f t="shared" si="74"/>
        <v>3239861.98</v>
      </c>
      <c r="T528" s="118">
        <f t="shared" si="72"/>
        <v>1498.063522448791</v>
      </c>
      <c r="U528" s="118">
        <v>2753.19</v>
      </c>
      <c r="V528" s="183">
        <f t="shared" si="65"/>
        <v>1255.1264775512091</v>
      </c>
      <c r="W528" s="183"/>
      <c r="X528" s="183"/>
      <c r="Y528" s="64" t="e">
        <f t="shared" si="66"/>
        <v>#N/A</v>
      </c>
      <c r="AA528" s="64" t="e">
        <f t="shared" si="67"/>
        <v>#N/A</v>
      </c>
      <c r="AC528" s="64" t="s">
        <v>1688</v>
      </c>
      <c r="AD528" s="64">
        <v>587</v>
      </c>
      <c r="AH528" s="64" t="e">
        <f t="shared" si="68"/>
        <v>#N/A</v>
      </c>
      <c r="AS528" s="64" t="e">
        <f t="shared" si="69"/>
        <v>#N/A</v>
      </c>
    </row>
    <row r="529" spans="1:45" s="64" customFormat="1" ht="36" customHeight="1" x14ac:dyDescent="0.9">
      <c r="A529" s="64">
        <v>1</v>
      </c>
      <c r="B529" s="92">
        <f>SUBTOTAL(103,$A$16:A529)</f>
        <v>451</v>
      </c>
      <c r="C529" s="91" t="s">
        <v>1304</v>
      </c>
      <c r="D529" s="126">
        <v>1980</v>
      </c>
      <c r="E529" s="126"/>
      <c r="F529" s="145" t="s">
        <v>273</v>
      </c>
      <c r="G529" s="126">
        <v>2</v>
      </c>
      <c r="H529" s="126">
        <v>3</v>
      </c>
      <c r="I529" s="118">
        <v>952.3</v>
      </c>
      <c r="J529" s="118">
        <v>869.8</v>
      </c>
      <c r="K529" s="118">
        <v>754.7</v>
      </c>
      <c r="L529" s="127">
        <v>47</v>
      </c>
      <c r="M529" s="126" t="s">
        <v>271</v>
      </c>
      <c r="N529" s="126" t="s">
        <v>275</v>
      </c>
      <c r="O529" s="124" t="s">
        <v>1331</v>
      </c>
      <c r="P529" s="118">
        <v>2323778.17</v>
      </c>
      <c r="Q529" s="118">
        <v>0</v>
      </c>
      <c r="R529" s="118">
        <v>0</v>
      </c>
      <c r="S529" s="118">
        <f t="shared" si="74"/>
        <v>2323778.17</v>
      </c>
      <c r="T529" s="118">
        <f t="shared" si="72"/>
        <v>2440.1744933319333</v>
      </c>
      <c r="U529" s="118">
        <v>2753.19</v>
      </c>
      <c r="V529" s="183">
        <f t="shared" ref="V529:V592" si="75">U529-T529</f>
        <v>313.01550666806679</v>
      </c>
      <c r="W529" s="183"/>
      <c r="X529" s="183"/>
      <c r="Y529" s="64" t="e">
        <f t="shared" ref="Y529:Y592" si="76">AA529*5221.8/I529</f>
        <v>#N/A</v>
      </c>
      <c r="AA529" s="64" t="e">
        <f t="shared" ref="AA529:AA592" si="77">VLOOKUP(C529,AC:AE,2,FALSE)</f>
        <v>#N/A</v>
      </c>
      <c r="AC529" s="64" t="s">
        <v>622</v>
      </c>
      <c r="AD529" s="64">
        <v>952</v>
      </c>
      <c r="AH529" s="64" t="e">
        <f t="shared" ref="AH529:AH592" si="78">VLOOKUP(C529,AJ:AK,2,FALSE)</f>
        <v>#N/A</v>
      </c>
      <c r="AS529" s="64" t="e">
        <f t="shared" ref="AS529:AS592" si="79">VLOOKUP(C529,AU:AV,2,FALSE)</f>
        <v>#N/A</v>
      </c>
    </row>
    <row r="530" spans="1:45" s="64" customFormat="1" ht="36" customHeight="1" x14ac:dyDescent="0.9">
      <c r="A530" s="64">
        <v>1</v>
      </c>
      <c r="B530" s="92">
        <f>SUBTOTAL(103,$A$16:A530)</f>
        <v>452</v>
      </c>
      <c r="C530" s="91" t="s">
        <v>1305</v>
      </c>
      <c r="D530" s="126">
        <v>1967</v>
      </c>
      <c r="E530" s="126"/>
      <c r="F530" s="145" t="s">
        <v>273</v>
      </c>
      <c r="G530" s="126">
        <v>2</v>
      </c>
      <c r="H530" s="126">
        <v>2</v>
      </c>
      <c r="I530" s="118">
        <v>783.4</v>
      </c>
      <c r="J530" s="118">
        <v>725.6</v>
      </c>
      <c r="K530" s="118">
        <v>680.1</v>
      </c>
      <c r="L530" s="127">
        <v>35</v>
      </c>
      <c r="M530" s="126" t="s">
        <v>271</v>
      </c>
      <c r="N530" s="126" t="s">
        <v>275</v>
      </c>
      <c r="O530" s="124" t="s">
        <v>1331</v>
      </c>
      <c r="P530" s="118">
        <v>2168498.14</v>
      </c>
      <c r="Q530" s="118">
        <v>0</v>
      </c>
      <c r="R530" s="118">
        <v>0</v>
      </c>
      <c r="S530" s="118">
        <f t="shared" si="74"/>
        <v>2168498.14</v>
      </c>
      <c r="T530" s="118">
        <f t="shared" si="72"/>
        <v>2768.0599183048253</v>
      </c>
      <c r="U530" s="118">
        <v>2768.0599183048253</v>
      </c>
      <c r="V530" s="183">
        <f t="shared" si="75"/>
        <v>0</v>
      </c>
      <c r="W530" s="183"/>
      <c r="X530" s="183"/>
      <c r="Y530" s="64" t="e">
        <f t="shared" si="76"/>
        <v>#N/A</v>
      </c>
      <c r="AA530" s="64" t="e">
        <f t="shared" si="77"/>
        <v>#N/A</v>
      </c>
      <c r="AC530" s="64" t="s">
        <v>1670</v>
      </c>
      <c r="AD530" s="64">
        <v>1626.8</v>
      </c>
      <c r="AH530" s="64" t="e">
        <f t="shared" si="78"/>
        <v>#N/A</v>
      </c>
      <c r="AS530" s="64" t="e">
        <f t="shared" si="79"/>
        <v>#N/A</v>
      </c>
    </row>
    <row r="531" spans="1:45" s="64" customFormat="1" ht="36" customHeight="1" x14ac:dyDescent="0.9">
      <c r="A531" s="64">
        <v>1</v>
      </c>
      <c r="B531" s="92">
        <f>SUBTOTAL(103,$A$16:A531)</f>
        <v>453</v>
      </c>
      <c r="C531" s="91" t="s">
        <v>1306</v>
      </c>
      <c r="D531" s="126">
        <v>1964</v>
      </c>
      <c r="E531" s="126"/>
      <c r="F531" s="145" t="s">
        <v>273</v>
      </c>
      <c r="G531" s="126">
        <v>2</v>
      </c>
      <c r="H531" s="126">
        <v>4</v>
      </c>
      <c r="I531" s="118">
        <v>1833.6</v>
      </c>
      <c r="J531" s="118">
        <v>1215.3800000000001</v>
      </c>
      <c r="K531" s="118">
        <v>986.3</v>
      </c>
      <c r="L531" s="127">
        <v>109</v>
      </c>
      <c r="M531" s="126" t="s">
        <v>271</v>
      </c>
      <c r="N531" s="126" t="s">
        <v>275</v>
      </c>
      <c r="O531" s="124" t="s">
        <v>1331</v>
      </c>
      <c r="P531" s="118">
        <v>2920505.33</v>
      </c>
      <c r="Q531" s="118">
        <v>0</v>
      </c>
      <c r="R531" s="118">
        <v>0</v>
      </c>
      <c r="S531" s="118">
        <f t="shared" si="74"/>
        <v>2920505.33</v>
      </c>
      <c r="T531" s="118">
        <f t="shared" si="72"/>
        <v>1592.7712314572427</v>
      </c>
      <c r="U531" s="118">
        <v>2753.19</v>
      </c>
      <c r="V531" s="183">
        <f t="shared" si="75"/>
        <v>1160.4187685427573</v>
      </c>
      <c r="W531" s="183"/>
      <c r="X531" s="183"/>
      <c r="Y531" s="64" t="e">
        <f t="shared" si="76"/>
        <v>#N/A</v>
      </c>
      <c r="AA531" s="64" t="e">
        <f t="shared" si="77"/>
        <v>#N/A</v>
      </c>
      <c r="AC531" s="64" t="s">
        <v>623</v>
      </c>
      <c r="AD531" s="64">
        <v>807.01</v>
      </c>
      <c r="AH531" s="64" t="e">
        <f t="shared" si="78"/>
        <v>#N/A</v>
      </c>
      <c r="AS531" s="64" t="e">
        <f t="shared" si="79"/>
        <v>#N/A</v>
      </c>
    </row>
    <row r="532" spans="1:45" s="64" customFormat="1" ht="36" customHeight="1" x14ac:dyDescent="0.9">
      <c r="A532" s="64">
        <v>1</v>
      </c>
      <c r="B532" s="92">
        <f>SUBTOTAL(103,$A$16:A532)</f>
        <v>454</v>
      </c>
      <c r="C532" s="91" t="s">
        <v>1611</v>
      </c>
      <c r="D532" s="126">
        <v>1981</v>
      </c>
      <c r="E532" s="126"/>
      <c r="F532" s="145" t="s">
        <v>1626</v>
      </c>
      <c r="G532" s="126">
        <v>2</v>
      </c>
      <c r="H532" s="126">
        <v>3</v>
      </c>
      <c r="I532" s="118">
        <v>922.9</v>
      </c>
      <c r="J532" s="118">
        <v>838.7</v>
      </c>
      <c r="K532" s="118">
        <f>J532</f>
        <v>838.7</v>
      </c>
      <c r="L532" s="127">
        <v>43</v>
      </c>
      <c r="M532" s="126" t="s">
        <v>271</v>
      </c>
      <c r="N532" s="126" t="s">
        <v>272</v>
      </c>
      <c r="O532" s="124" t="s">
        <v>274</v>
      </c>
      <c r="P532" s="118">
        <v>656055</v>
      </c>
      <c r="Q532" s="118">
        <v>0</v>
      </c>
      <c r="R532" s="118">
        <v>0</v>
      </c>
      <c r="S532" s="118">
        <f>P532-R532-Q532</f>
        <v>656055</v>
      </c>
      <c r="T532" s="118">
        <f t="shared" si="72"/>
        <v>710.86249864557374</v>
      </c>
      <c r="U532" s="118">
        <v>2753.19</v>
      </c>
      <c r="V532" s="183">
        <f t="shared" si="75"/>
        <v>2042.3275013544262</v>
      </c>
      <c r="W532" s="183"/>
      <c r="X532" s="183"/>
      <c r="Y532" s="64" t="e">
        <f t="shared" si="76"/>
        <v>#N/A</v>
      </c>
      <c r="AA532" s="64" t="e">
        <f t="shared" si="77"/>
        <v>#N/A</v>
      </c>
      <c r="AC532" s="64" t="s">
        <v>624</v>
      </c>
      <c r="AD532" s="64">
        <v>975</v>
      </c>
      <c r="AH532" s="64" t="e">
        <f t="shared" si="78"/>
        <v>#N/A</v>
      </c>
      <c r="AS532" s="64" t="e">
        <f t="shared" si="79"/>
        <v>#N/A</v>
      </c>
    </row>
    <row r="533" spans="1:45" s="64" customFormat="1" ht="36" customHeight="1" x14ac:dyDescent="0.9">
      <c r="A533" s="64">
        <v>1</v>
      </c>
      <c r="B533" s="92">
        <f>SUBTOTAL(103,$A$16:A533)</f>
        <v>455</v>
      </c>
      <c r="C533" s="91" t="s">
        <v>1612</v>
      </c>
      <c r="D533" s="126">
        <v>1980</v>
      </c>
      <c r="E533" s="126"/>
      <c r="F533" s="145" t="s">
        <v>1626</v>
      </c>
      <c r="G533" s="126">
        <v>2</v>
      </c>
      <c r="H533" s="126">
        <v>3</v>
      </c>
      <c r="I533" s="118">
        <v>1035.4000000000001</v>
      </c>
      <c r="J533" s="118">
        <v>947.5</v>
      </c>
      <c r="K533" s="118">
        <f>J533-152.1</f>
        <v>795.4</v>
      </c>
      <c r="L533" s="127">
        <v>35</v>
      </c>
      <c r="M533" s="126" t="s">
        <v>271</v>
      </c>
      <c r="N533" s="126" t="s">
        <v>272</v>
      </c>
      <c r="O533" s="124" t="s">
        <v>274</v>
      </c>
      <c r="P533" s="118">
        <v>726289.99</v>
      </c>
      <c r="Q533" s="118">
        <v>0</v>
      </c>
      <c r="R533" s="118">
        <v>0</v>
      </c>
      <c r="S533" s="118">
        <f>P533-R533-Q533</f>
        <v>726289.99</v>
      </c>
      <c r="T533" s="118">
        <f t="shared" si="72"/>
        <v>701.45836391732655</v>
      </c>
      <c r="U533" s="118">
        <v>2753.19</v>
      </c>
      <c r="V533" s="183">
        <f t="shared" si="75"/>
        <v>2051.7316360826735</v>
      </c>
      <c r="W533" s="183"/>
      <c r="X533" s="183"/>
      <c r="Y533" s="64" t="e">
        <f t="shared" si="76"/>
        <v>#N/A</v>
      </c>
      <c r="AA533" s="64" t="e">
        <f t="shared" si="77"/>
        <v>#N/A</v>
      </c>
      <c r="AC533" s="64" t="s">
        <v>625</v>
      </c>
      <c r="AD533" s="64">
        <v>771.25</v>
      </c>
      <c r="AH533" s="64" t="e">
        <f t="shared" si="78"/>
        <v>#N/A</v>
      </c>
      <c r="AS533" s="64" t="e">
        <f t="shared" si="79"/>
        <v>#N/A</v>
      </c>
    </row>
    <row r="534" spans="1:45" s="64" customFormat="1" ht="36" customHeight="1" x14ac:dyDescent="0.9">
      <c r="B534" s="91" t="s">
        <v>888</v>
      </c>
      <c r="C534" s="91"/>
      <c r="D534" s="126" t="s">
        <v>916</v>
      </c>
      <c r="E534" s="126" t="s">
        <v>916</v>
      </c>
      <c r="F534" s="126" t="s">
        <v>916</v>
      </c>
      <c r="G534" s="126" t="s">
        <v>916</v>
      </c>
      <c r="H534" s="126" t="s">
        <v>916</v>
      </c>
      <c r="I534" s="117">
        <f>SUM(I535:I539)</f>
        <v>3295.2</v>
      </c>
      <c r="J534" s="117">
        <f>SUM(J535:J539)</f>
        <v>2918.8999999999996</v>
      </c>
      <c r="K534" s="117">
        <f>SUM(K535:K539)</f>
        <v>2901.2</v>
      </c>
      <c r="L534" s="127">
        <f>SUM(L535:L539)</f>
        <v>81</v>
      </c>
      <c r="M534" s="126" t="s">
        <v>916</v>
      </c>
      <c r="N534" s="126" t="s">
        <v>916</v>
      </c>
      <c r="O534" s="124" t="s">
        <v>916</v>
      </c>
      <c r="P534" s="118">
        <v>7944432.1499999994</v>
      </c>
      <c r="Q534" s="118">
        <f>SUM(Q535:Q539)</f>
        <v>0</v>
      </c>
      <c r="R534" s="118">
        <f>SUM(R535:R539)</f>
        <v>0</v>
      </c>
      <c r="S534" s="118">
        <f>SUM(S535:S539)</f>
        <v>7944432.1499999994</v>
      </c>
      <c r="T534" s="118">
        <f t="shared" si="72"/>
        <v>2410.9104606700657</v>
      </c>
      <c r="U534" s="118">
        <f>MAX(U535:U539)</f>
        <v>4089.9241603466949</v>
      </c>
      <c r="V534" s="183">
        <f t="shared" si="75"/>
        <v>1679.0136996766291</v>
      </c>
      <c r="W534" s="183"/>
      <c r="X534" s="183"/>
      <c r="Y534" s="64" t="e">
        <f t="shared" si="76"/>
        <v>#N/A</v>
      </c>
      <c r="AA534" s="64" t="e">
        <f t="shared" si="77"/>
        <v>#N/A</v>
      </c>
      <c r="AC534" s="64" t="s">
        <v>626</v>
      </c>
      <c r="AD534" s="64">
        <v>963.75</v>
      </c>
      <c r="AH534" s="64" t="e">
        <f t="shared" si="78"/>
        <v>#N/A</v>
      </c>
      <c r="AS534" s="64" t="e">
        <f t="shared" si="79"/>
        <v>#N/A</v>
      </c>
    </row>
    <row r="535" spans="1:45" s="64" customFormat="1" ht="36" customHeight="1" x14ac:dyDescent="0.9">
      <c r="A535" s="64">
        <v>1</v>
      </c>
      <c r="B535" s="92">
        <f>SUBTOTAL(103,$A$16:A535)</f>
        <v>456</v>
      </c>
      <c r="C535" s="91" t="s">
        <v>224</v>
      </c>
      <c r="D535" s="126">
        <v>1973</v>
      </c>
      <c r="E535" s="126"/>
      <c r="F535" s="145" t="s">
        <v>273</v>
      </c>
      <c r="G535" s="126">
        <v>2</v>
      </c>
      <c r="H535" s="126">
        <v>2</v>
      </c>
      <c r="I535" s="118">
        <v>775.5</v>
      </c>
      <c r="J535" s="118">
        <v>715.8</v>
      </c>
      <c r="K535" s="118">
        <v>715.8</v>
      </c>
      <c r="L535" s="127">
        <v>16</v>
      </c>
      <c r="M535" s="126" t="s">
        <v>271</v>
      </c>
      <c r="N535" s="126" t="s">
        <v>275</v>
      </c>
      <c r="O535" s="124" t="s">
        <v>340</v>
      </c>
      <c r="P535" s="118">
        <v>197289.34</v>
      </c>
      <c r="Q535" s="118">
        <v>0</v>
      </c>
      <c r="R535" s="118">
        <v>0</v>
      </c>
      <c r="S535" s="118">
        <f>P535-Q535-R535</f>
        <v>197289.34</v>
      </c>
      <c r="T535" s="118">
        <f t="shared" si="72"/>
        <v>254.40275950999356</v>
      </c>
      <c r="U535" s="118">
        <v>254.40275950999356</v>
      </c>
      <c r="V535" s="183">
        <f t="shared" si="75"/>
        <v>0</v>
      </c>
      <c r="W535" s="183"/>
      <c r="X535" s="183"/>
      <c r="Y535" s="64" t="e">
        <f t="shared" si="76"/>
        <v>#N/A</v>
      </c>
      <c r="AA535" s="64" t="e">
        <f t="shared" si="77"/>
        <v>#N/A</v>
      </c>
      <c r="AC535" s="64" t="s">
        <v>477</v>
      </c>
      <c r="AD535" s="64">
        <v>648.4</v>
      </c>
      <c r="AH535" s="64" t="e">
        <f t="shared" si="78"/>
        <v>#N/A</v>
      </c>
      <c r="AS535" s="64" t="e">
        <f t="shared" si="79"/>
        <v>#N/A</v>
      </c>
    </row>
    <row r="536" spans="1:45" s="64" customFormat="1" ht="36" customHeight="1" x14ac:dyDescent="0.9">
      <c r="A536" s="64">
        <v>1</v>
      </c>
      <c r="B536" s="92">
        <f>SUBTOTAL(103,$A$16:A536)</f>
        <v>457</v>
      </c>
      <c r="C536" s="91" t="s">
        <v>225</v>
      </c>
      <c r="D536" s="126">
        <v>1971</v>
      </c>
      <c r="E536" s="126"/>
      <c r="F536" s="145" t="s">
        <v>273</v>
      </c>
      <c r="G536" s="126">
        <v>2</v>
      </c>
      <c r="H536" s="126">
        <v>2</v>
      </c>
      <c r="I536" s="118">
        <v>777</v>
      </c>
      <c r="J536" s="118">
        <v>718.1</v>
      </c>
      <c r="K536" s="118">
        <v>718.1</v>
      </c>
      <c r="L536" s="127">
        <v>16</v>
      </c>
      <c r="M536" s="126" t="s">
        <v>271</v>
      </c>
      <c r="N536" s="126" t="s">
        <v>275</v>
      </c>
      <c r="O536" s="124" t="s">
        <v>340</v>
      </c>
      <c r="P536" s="118">
        <v>3074188.7199999997</v>
      </c>
      <c r="Q536" s="118">
        <v>0</v>
      </c>
      <c r="R536" s="118">
        <v>0</v>
      </c>
      <c r="S536" s="118">
        <f>P536-Q536-R536</f>
        <v>3074188.7199999997</v>
      </c>
      <c r="T536" s="118">
        <f t="shared" si="72"/>
        <v>3956.4848391248388</v>
      </c>
      <c r="U536" s="118">
        <f>T536</f>
        <v>3956.4848391248388</v>
      </c>
      <c r="V536" s="183">
        <f t="shared" si="75"/>
        <v>0</v>
      </c>
      <c r="W536" s="183"/>
      <c r="X536" s="183"/>
      <c r="Y536" s="64">
        <f t="shared" si="76"/>
        <v>4134.4290347490351</v>
      </c>
      <c r="AA536" s="64">
        <f t="shared" si="77"/>
        <v>615.20000000000005</v>
      </c>
      <c r="AC536" s="64" t="s">
        <v>478</v>
      </c>
      <c r="AD536" s="64">
        <v>547</v>
      </c>
      <c r="AH536" s="64" t="e">
        <f t="shared" si="78"/>
        <v>#N/A</v>
      </c>
      <c r="AS536" s="64" t="e">
        <f t="shared" si="79"/>
        <v>#N/A</v>
      </c>
    </row>
    <row r="537" spans="1:45" s="64" customFormat="1" ht="36" customHeight="1" x14ac:dyDescent="0.9">
      <c r="A537" s="64">
        <v>1</v>
      </c>
      <c r="B537" s="92">
        <f>SUBTOTAL(103,$A$16:A537)</f>
        <v>458</v>
      </c>
      <c r="C537" s="91" t="s">
        <v>230</v>
      </c>
      <c r="D537" s="126">
        <v>1978</v>
      </c>
      <c r="E537" s="126"/>
      <c r="F537" s="145" t="s">
        <v>319</v>
      </c>
      <c r="G537" s="126">
        <v>3</v>
      </c>
      <c r="H537" s="126">
        <v>2</v>
      </c>
      <c r="I537" s="118">
        <v>1015.3</v>
      </c>
      <c r="J537" s="118">
        <v>929.3</v>
      </c>
      <c r="K537" s="118">
        <v>929.3</v>
      </c>
      <c r="L537" s="127">
        <v>18</v>
      </c>
      <c r="M537" s="126" t="s">
        <v>271</v>
      </c>
      <c r="N537" s="126" t="s">
        <v>275</v>
      </c>
      <c r="O537" s="124" t="s">
        <v>340</v>
      </c>
      <c r="P537" s="118">
        <v>2853384.08</v>
      </c>
      <c r="Q537" s="118">
        <v>0</v>
      </c>
      <c r="R537" s="118">
        <v>0</v>
      </c>
      <c r="S537" s="118">
        <f>P537-Q537-R537</f>
        <v>2853384.08</v>
      </c>
      <c r="T537" s="118">
        <f t="shared" si="72"/>
        <v>2810.385186644342</v>
      </c>
      <c r="U537" s="118">
        <v>2472.7398798384711</v>
      </c>
      <c r="V537" s="183">
        <f t="shared" si="75"/>
        <v>-337.64530680587086</v>
      </c>
      <c r="W537" s="183"/>
      <c r="X537" s="183"/>
      <c r="Y537" s="64" t="e">
        <f t="shared" si="76"/>
        <v>#N/A</v>
      </c>
      <c r="AA537" s="64" t="e">
        <f t="shared" si="77"/>
        <v>#N/A</v>
      </c>
      <c r="AC537" s="64" t="s">
        <v>479</v>
      </c>
      <c r="AD537" s="64">
        <v>493.2</v>
      </c>
      <c r="AH537" s="64" t="e">
        <f t="shared" si="78"/>
        <v>#N/A</v>
      </c>
      <c r="AS537" s="64" t="e">
        <f t="shared" si="79"/>
        <v>#N/A</v>
      </c>
    </row>
    <row r="538" spans="1:45" s="64" customFormat="1" ht="36" customHeight="1" x14ac:dyDescent="0.9">
      <c r="A538" s="64">
        <v>1</v>
      </c>
      <c r="B538" s="92">
        <f>SUBTOTAL(103,$A$16:A538)</f>
        <v>459</v>
      </c>
      <c r="C538" s="91" t="s">
        <v>1120</v>
      </c>
      <c r="D538" s="126">
        <v>1938</v>
      </c>
      <c r="E538" s="126"/>
      <c r="F538" s="145" t="s">
        <v>338</v>
      </c>
      <c r="G538" s="126">
        <v>2</v>
      </c>
      <c r="H538" s="126">
        <v>1</v>
      </c>
      <c r="I538" s="118">
        <v>369.2</v>
      </c>
      <c r="J538" s="118">
        <v>222.5</v>
      </c>
      <c r="K538" s="118">
        <v>204.8</v>
      </c>
      <c r="L538" s="127">
        <v>16</v>
      </c>
      <c r="M538" s="126" t="s">
        <v>271</v>
      </c>
      <c r="N538" s="126" t="s">
        <v>272</v>
      </c>
      <c r="O538" s="124" t="s">
        <v>274</v>
      </c>
      <c r="P538" s="118">
        <v>1509999.9999999998</v>
      </c>
      <c r="Q538" s="118">
        <v>0</v>
      </c>
      <c r="R538" s="118">
        <v>0</v>
      </c>
      <c r="S538" s="118">
        <f>P538-Q538-R538</f>
        <v>1509999.9999999998</v>
      </c>
      <c r="T538" s="118">
        <f t="shared" si="72"/>
        <v>4089.9241603466949</v>
      </c>
      <c r="U538" s="118">
        <f>T538</f>
        <v>4089.9241603466949</v>
      </c>
      <c r="V538" s="183">
        <f t="shared" si="75"/>
        <v>0</v>
      </c>
      <c r="W538" s="183"/>
      <c r="X538" s="183"/>
      <c r="Y538" s="64">
        <f t="shared" si="76"/>
        <v>3394.4528710725895</v>
      </c>
      <c r="AA538" s="64">
        <f t="shared" si="77"/>
        <v>240</v>
      </c>
      <c r="AC538" s="64" t="s">
        <v>480</v>
      </c>
      <c r="AD538" s="64">
        <v>1130</v>
      </c>
      <c r="AH538" s="64" t="e">
        <f t="shared" si="78"/>
        <v>#N/A</v>
      </c>
      <c r="AS538" s="64" t="e">
        <f t="shared" si="79"/>
        <v>#N/A</v>
      </c>
    </row>
    <row r="539" spans="1:45" s="64" customFormat="1" ht="36" customHeight="1" x14ac:dyDescent="0.9">
      <c r="A539" s="64">
        <v>1</v>
      </c>
      <c r="B539" s="92">
        <f>SUBTOTAL(103,$A$16:A539)</f>
        <v>460</v>
      </c>
      <c r="C539" s="91" t="s">
        <v>1307</v>
      </c>
      <c r="D539" s="126">
        <v>1970</v>
      </c>
      <c r="E539" s="126"/>
      <c r="F539" s="145" t="s">
        <v>273</v>
      </c>
      <c r="G539" s="126">
        <v>2</v>
      </c>
      <c r="H539" s="126">
        <v>1</v>
      </c>
      <c r="I539" s="118">
        <v>358.2</v>
      </c>
      <c r="J539" s="118">
        <v>333.2</v>
      </c>
      <c r="K539" s="118">
        <v>333.2</v>
      </c>
      <c r="L539" s="127">
        <v>15</v>
      </c>
      <c r="M539" s="126" t="s">
        <v>271</v>
      </c>
      <c r="N539" s="126" t="s">
        <v>275</v>
      </c>
      <c r="O539" s="124" t="s">
        <v>1381</v>
      </c>
      <c r="P539" s="118">
        <v>309570.01</v>
      </c>
      <c r="Q539" s="118">
        <v>0</v>
      </c>
      <c r="R539" s="118">
        <v>0</v>
      </c>
      <c r="S539" s="118">
        <f>P539-Q539-R539</f>
        <v>309570.01</v>
      </c>
      <c r="T539" s="118">
        <f t="shared" si="72"/>
        <v>864.23788386376327</v>
      </c>
      <c r="U539" s="118">
        <v>864.23788386376327</v>
      </c>
      <c r="V539" s="183">
        <f t="shared" si="75"/>
        <v>0</v>
      </c>
      <c r="W539" s="183"/>
      <c r="X539" s="183"/>
      <c r="Y539" s="64" t="e">
        <f t="shared" si="76"/>
        <v>#N/A</v>
      </c>
      <c r="AA539" s="64" t="e">
        <f t="shared" si="77"/>
        <v>#N/A</v>
      </c>
      <c r="AC539" s="64" t="s">
        <v>481</v>
      </c>
      <c r="AD539" s="64">
        <v>864</v>
      </c>
      <c r="AH539" s="64" t="e">
        <f t="shared" si="78"/>
        <v>#N/A</v>
      </c>
      <c r="AS539" s="64" t="e">
        <f t="shared" si="79"/>
        <v>#N/A</v>
      </c>
    </row>
    <row r="540" spans="1:45" s="64" customFormat="1" ht="36" customHeight="1" x14ac:dyDescent="0.9">
      <c r="B540" s="91" t="s">
        <v>889</v>
      </c>
      <c r="C540" s="91"/>
      <c r="D540" s="126" t="s">
        <v>916</v>
      </c>
      <c r="E540" s="126" t="s">
        <v>916</v>
      </c>
      <c r="F540" s="126" t="s">
        <v>916</v>
      </c>
      <c r="G540" s="126" t="s">
        <v>916</v>
      </c>
      <c r="H540" s="126" t="s">
        <v>916</v>
      </c>
      <c r="I540" s="117">
        <f>SUM(I541:I543)</f>
        <v>1634.9</v>
      </c>
      <c r="J540" s="117">
        <f>SUM(J541:J543)</f>
        <v>1609.9</v>
      </c>
      <c r="K540" s="117">
        <f>SUM(K541:K543)</f>
        <v>1149.7</v>
      </c>
      <c r="L540" s="127">
        <f>SUM(L541:L543)</f>
        <v>75</v>
      </c>
      <c r="M540" s="126" t="s">
        <v>916</v>
      </c>
      <c r="N540" s="126" t="s">
        <v>916</v>
      </c>
      <c r="O540" s="124" t="s">
        <v>916</v>
      </c>
      <c r="P540" s="118">
        <v>917252.46</v>
      </c>
      <c r="Q540" s="118">
        <f>Q541+Q542+Q543</f>
        <v>0</v>
      </c>
      <c r="R540" s="118">
        <f>R541+R542+R543</f>
        <v>0</v>
      </c>
      <c r="S540" s="118">
        <f>S541+S542+S543</f>
        <v>917252.46</v>
      </c>
      <c r="T540" s="118">
        <f t="shared" si="72"/>
        <v>561.0449935775888</v>
      </c>
      <c r="U540" s="118">
        <f>MAX(U541:U543)</f>
        <v>1715.5844675740593</v>
      </c>
      <c r="V540" s="183">
        <f t="shared" si="75"/>
        <v>1154.5394739964704</v>
      </c>
      <c r="W540" s="183"/>
      <c r="X540" s="183"/>
      <c r="Y540" s="64" t="e">
        <f t="shared" si="76"/>
        <v>#N/A</v>
      </c>
      <c r="AA540" s="64" t="e">
        <f t="shared" si="77"/>
        <v>#N/A</v>
      </c>
      <c r="AC540" s="64" t="s">
        <v>483</v>
      </c>
      <c r="AD540" s="64">
        <v>624.26</v>
      </c>
      <c r="AH540" s="64" t="e">
        <f t="shared" si="78"/>
        <v>#N/A</v>
      </c>
      <c r="AS540" s="64" t="e">
        <f t="shared" si="79"/>
        <v>#N/A</v>
      </c>
    </row>
    <row r="541" spans="1:45" s="64" customFormat="1" ht="36" customHeight="1" x14ac:dyDescent="0.9">
      <c r="A541" s="64">
        <v>1</v>
      </c>
      <c r="B541" s="92">
        <f>SUBTOTAL(103,$A$16:A541)</f>
        <v>461</v>
      </c>
      <c r="C541" s="91" t="s">
        <v>228</v>
      </c>
      <c r="D541" s="126">
        <v>1962</v>
      </c>
      <c r="E541" s="126"/>
      <c r="F541" s="145" t="s">
        <v>273</v>
      </c>
      <c r="G541" s="126">
        <v>2</v>
      </c>
      <c r="H541" s="126">
        <v>1</v>
      </c>
      <c r="I541" s="118">
        <v>212.1</v>
      </c>
      <c r="J541" s="118">
        <v>187.1</v>
      </c>
      <c r="K541" s="118">
        <v>187.1</v>
      </c>
      <c r="L541" s="127">
        <v>11</v>
      </c>
      <c r="M541" s="126" t="s">
        <v>271</v>
      </c>
      <c r="N541" s="126" t="s">
        <v>272</v>
      </c>
      <c r="O541" s="124" t="s">
        <v>274</v>
      </c>
      <c r="P541" s="118">
        <v>76999.329999999987</v>
      </c>
      <c r="Q541" s="118">
        <v>0</v>
      </c>
      <c r="R541" s="118">
        <v>0</v>
      </c>
      <c r="S541" s="118">
        <f>P541-Q541-R541</f>
        <v>76999.329999999987</v>
      </c>
      <c r="T541" s="118">
        <f t="shared" si="72"/>
        <v>363.03314474304568</v>
      </c>
      <c r="U541" s="118">
        <v>1045.9809523809524</v>
      </c>
      <c r="V541" s="183">
        <f t="shared" si="75"/>
        <v>682.94780763790675</v>
      </c>
      <c r="W541" s="183"/>
      <c r="X541" s="183"/>
      <c r="Y541" s="64" t="e">
        <f t="shared" si="76"/>
        <v>#N/A</v>
      </c>
      <c r="AA541" s="64" t="e">
        <f t="shared" si="77"/>
        <v>#N/A</v>
      </c>
      <c r="AC541" s="64" t="s">
        <v>484</v>
      </c>
      <c r="AD541" s="64">
        <v>526.79999999999995</v>
      </c>
      <c r="AH541" s="64" t="e">
        <f t="shared" si="78"/>
        <v>#N/A</v>
      </c>
      <c r="AS541" s="64" t="e">
        <f t="shared" si="79"/>
        <v>#N/A</v>
      </c>
    </row>
    <row r="542" spans="1:45" s="64" customFormat="1" ht="36" customHeight="1" x14ac:dyDescent="0.9">
      <c r="A542" s="64">
        <v>1</v>
      </c>
      <c r="B542" s="92">
        <f>SUBTOTAL(103,$A$16:A542)</f>
        <v>462</v>
      </c>
      <c r="C542" s="91" t="s">
        <v>1319</v>
      </c>
      <c r="D542" s="126">
        <v>1976</v>
      </c>
      <c r="E542" s="126"/>
      <c r="F542" s="145" t="s">
        <v>273</v>
      </c>
      <c r="G542" s="126">
        <v>2</v>
      </c>
      <c r="H542" s="126">
        <v>2</v>
      </c>
      <c r="I542" s="118">
        <v>798.3</v>
      </c>
      <c r="J542" s="118">
        <v>798.3</v>
      </c>
      <c r="K542" s="118">
        <v>587.79999999999995</v>
      </c>
      <c r="L542" s="127">
        <v>32</v>
      </c>
      <c r="M542" s="126" t="s">
        <v>271</v>
      </c>
      <c r="N542" s="126" t="s">
        <v>272</v>
      </c>
      <c r="O542" s="124" t="s">
        <v>274</v>
      </c>
      <c r="P542" s="118">
        <v>365968</v>
      </c>
      <c r="Q542" s="118">
        <v>0</v>
      </c>
      <c r="R542" s="118">
        <v>0</v>
      </c>
      <c r="S542" s="118">
        <f>P542-Q542-R542</f>
        <v>365968</v>
      </c>
      <c r="T542" s="118">
        <f t="shared" si="72"/>
        <v>458.43417261681077</v>
      </c>
      <c r="U542" s="118">
        <f>AG542</f>
        <v>845.35282475259942</v>
      </c>
      <c r="V542" s="183">
        <f t="shared" si="75"/>
        <v>386.91865213578865</v>
      </c>
      <c r="W542" s="183"/>
      <c r="X542" s="183"/>
      <c r="Y542" s="64" t="e">
        <f t="shared" si="76"/>
        <v>#N/A</v>
      </c>
      <c r="AA542" s="64" t="e">
        <f t="shared" si="77"/>
        <v>#N/A</v>
      </c>
      <c r="AC542" s="64" t="s">
        <v>485</v>
      </c>
      <c r="AD542" s="64">
        <v>624.26</v>
      </c>
      <c r="AG542" s="64">
        <f>AH542*6191.24/J542</f>
        <v>845.35282475259942</v>
      </c>
      <c r="AH542" s="64">
        <f t="shared" si="78"/>
        <v>109</v>
      </c>
      <c r="AS542" s="64" t="e">
        <f t="shared" si="79"/>
        <v>#N/A</v>
      </c>
    </row>
    <row r="543" spans="1:45" s="64" customFormat="1" ht="36" customHeight="1" x14ac:dyDescent="0.9">
      <c r="A543" s="64">
        <v>1</v>
      </c>
      <c r="B543" s="92">
        <f>SUBTOTAL(103,$A$16:A543)</f>
        <v>463</v>
      </c>
      <c r="C543" s="91" t="s">
        <v>1320</v>
      </c>
      <c r="D543" s="126">
        <v>1986</v>
      </c>
      <c r="E543" s="126"/>
      <c r="F543" s="145" t="s">
        <v>326</v>
      </c>
      <c r="G543" s="126">
        <v>2</v>
      </c>
      <c r="H543" s="126">
        <v>2</v>
      </c>
      <c r="I543" s="118">
        <v>624.5</v>
      </c>
      <c r="J543" s="118">
        <v>624.5</v>
      </c>
      <c r="K543" s="118">
        <v>374.8</v>
      </c>
      <c r="L543" s="127">
        <v>32</v>
      </c>
      <c r="M543" s="126" t="s">
        <v>271</v>
      </c>
      <c r="N543" s="126" t="s">
        <v>272</v>
      </c>
      <c r="O543" s="124" t="s">
        <v>274</v>
      </c>
      <c r="P543" s="118">
        <v>474285.13000000006</v>
      </c>
      <c r="Q543" s="118">
        <v>0</v>
      </c>
      <c r="R543" s="118">
        <v>0</v>
      </c>
      <c r="S543" s="118">
        <f>P543-Q543-R543</f>
        <v>474285.13000000006</v>
      </c>
      <c r="T543" s="118">
        <f t="shared" si="72"/>
        <v>759.46377902321865</v>
      </c>
      <c r="U543" s="118">
        <v>1715.5844675740593</v>
      </c>
      <c r="V543" s="183">
        <f t="shared" si="75"/>
        <v>956.12068855084067</v>
      </c>
      <c r="W543" s="183"/>
      <c r="X543" s="183"/>
      <c r="Y543" s="64" t="e">
        <f t="shared" si="76"/>
        <v>#N/A</v>
      </c>
      <c r="AA543" s="64" t="e">
        <f t="shared" si="77"/>
        <v>#N/A</v>
      </c>
      <c r="AC543" s="64" t="s">
        <v>486</v>
      </c>
      <c r="AD543" s="64">
        <v>544.85</v>
      </c>
      <c r="AH543" s="64" t="e">
        <f t="shared" si="78"/>
        <v>#N/A</v>
      </c>
      <c r="AS543" s="64" t="e">
        <f t="shared" si="79"/>
        <v>#N/A</v>
      </c>
    </row>
    <row r="544" spans="1:45" s="64" customFormat="1" ht="36" customHeight="1" x14ac:dyDescent="0.9">
      <c r="B544" s="91" t="s">
        <v>890</v>
      </c>
      <c r="C544" s="91"/>
      <c r="D544" s="126" t="s">
        <v>916</v>
      </c>
      <c r="E544" s="126" t="s">
        <v>916</v>
      </c>
      <c r="F544" s="126" t="s">
        <v>916</v>
      </c>
      <c r="G544" s="126" t="s">
        <v>916</v>
      </c>
      <c r="H544" s="126" t="s">
        <v>916</v>
      </c>
      <c r="I544" s="117">
        <f>I545</f>
        <v>317.39999999999998</v>
      </c>
      <c r="J544" s="117">
        <f>J545</f>
        <v>287.2</v>
      </c>
      <c r="K544" s="117">
        <f>K545</f>
        <v>212.6</v>
      </c>
      <c r="L544" s="127">
        <f>L545</f>
        <v>17</v>
      </c>
      <c r="M544" s="126" t="s">
        <v>916</v>
      </c>
      <c r="N544" s="126" t="s">
        <v>916</v>
      </c>
      <c r="O544" s="124" t="s">
        <v>916</v>
      </c>
      <c r="P544" s="118">
        <v>1455782.0000000002</v>
      </c>
      <c r="Q544" s="118">
        <f>Q545</f>
        <v>0</v>
      </c>
      <c r="R544" s="118">
        <f>R545</f>
        <v>0</v>
      </c>
      <c r="S544" s="118">
        <f>S545</f>
        <v>1455782.0000000002</v>
      </c>
      <c r="T544" s="118">
        <f t="shared" si="72"/>
        <v>4586.5847511027105</v>
      </c>
      <c r="U544" s="118">
        <f>U545</f>
        <v>4768.7175425330815</v>
      </c>
      <c r="V544" s="183">
        <f t="shared" si="75"/>
        <v>182.13279143037107</v>
      </c>
      <c r="W544" s="183"/>
      <c r="X544" s="183"/>
      <c r="Y544" s="64" t="e">
        <f t="shared" si="76"/>
        <v>#N/A</v>
      </c>
      <c r="AA544" s="64" t="e">
        <f t="shared" si="77"/>
        <v>#N/A</v>
      </c>
      <c r="AC544" s="64" t="s">
        <v>487</v>
      </c>
      <c r="AD544" s="64">
        <v>510</v>
      </c>
      <c r="AH544" s="64" t="e">
        <f t="shared" si="78"/>
        <v>#N/A</v>
      </c>
      <c r="AS544" s="64" t="e">
        <f t="shared" si="79"/>
        <v>#N/A</v>
      </c>
    </row>
    <row r="545" spans="1:45" s="64" customFormat="1" ht="36" customHeight="1" x14ac:dyDescent="0.9">
      <c r="A545" s="64">
        <v>1</v>
      </c>
      <c r="B545" s="92">
        <f>SUBTOTAL(103,$A$16:A545)</f>
        <v>464</v>
      </c>
      <c r="C545" s="91" t="s">
        <v>227</v>
      </c>
      <c r="D545" s="126">
        <v>1966</v>
      </c>
      <c r="E545" s="126"/>
      <c r="F545" s="145" t="s">
        <v>273</v>
      </c>
      <c r="G545" s="126">
        <v>2</v>
      </c>
      <c r="H545" s="126">
        <v>1</v>
      </c>
      <c r="I545" s="118">
        <v>317.39999999999998</v>
      </c>
      <c r="J545" s="118">
        <v>287.2</v>
      </c>
      <c r="K545" s="118">
        <v>212.6</v>
      </c>
      <c r="L545" s="127">
        <v>17</v>
      </c>
      <c r="M545" s="126" t="s">
        <v>271</v>
      </c>
      <c r="N545" s="126" t="s">
        <v>272</v>
      </c>
      <c r="O545" s="124" t="s">
        <v>274</v>
      </c>
      <c r="P545" s="118">
        <v>1455782.0000000002</v>
      </c>
      <c r="Q545" s="118">
        <v>0</v>
      </c>
      <c r="R545" s="118">
        <v>0</v>
      </c>
      <c r="S545" s="118">
        <f>P545-Q545-R545</f>
        <v>1455782.0000000002</v>
      </c>
      <c r="T545" s="118">
        <f t="shared" si="72"/>
        <v>4586.5847511027105</v>
      </c>
      <c r="U545" s="118">
        <f>Y545</f>
        <v>4768.7175425330815</v>
      </c>
      <c r="V545" s="183">
        <f t="shared" si="75"/>
        <v>182.13279143037107</v>
      </c>
      <c r="W545" s="183"/>
      <c r="X545" s="183"/>
      <c r="Y545" s="64">
        <f t="shared" si="76"/>
        <v>4768.7175425330815</v>
      </c>
      <c r="AA545" s="64">
        <f t="shared" si="77"/>
        <v>289.86</v>
      </c>
      <c r="AC545" s="64" t="s">
        <v>488</v>
      </c>
      <c r="AD545" s="64">
        <v>547</v>
      </c>
      <c r="AH545" s="64" t="e">
        <f t="shared" si="78"/>
        <v>#N/A</v>
      </c>
      <c r="AS545" s="64" t="e">
        <f t="shared" si="79"/>
        <v>#N/A</v>
      </c>
    </row>
    <row r="546" spans="1:45" s="64" customFormat="1" ht="36" customHeight="1" x14ac:dyDescent="0.9">
      <c r="B546" s="91" t="s">
        <v>779</v>
      </c>
      <c r="C546" s="91"/>
      <c r="D546" s="126" t="s">
        <v>916</v>
      </c>
      <c r="E546" s="126" t="s">
        <v>916</v>
      </c>
      <c r="F546" s="126" t="s">
        <v>916</v>
      </c>
      <c r="G546" s="126" t="s">
        <v>916</v>
      </c>
      <c r="H546" s="126" t="s">
        <v>916</v>
      </c>
      <c r="I546" s="117">
        <f>I547+I681+I699+I758+I779+I783+I801+I804+I809+I812+I814+I817+I819+I821+I828+I833+I835+I837+I839+I841+I843+I845+I847+I856+I858+I861+I863+I865+I870+I873+I875+I877+I879+I881+I883+I885+I887+I893+I891+I895+I901+I904+I906+I908+I910+I912+I914+I918+I921+I923+I925+I927+I931+I933+I936+I938</f>
        <v>839933.56000000017</v>
      </c>
      <c r="J546" s="117">
        <f>J547+J681+J699+J758+J779+J783+J801+J804+J809+J812+J814+J817+J819+J821+J828+J833+J835+J837+J839+J841+J843+J845+J847+J856+J858+J861+J863+J865+J870+J873+J875+J877+J879+J881+J883+J885+J887+J893+J891+J895+J901+J904+J906+J908+J910+J912+J914+J918+J921+J923+J925+J927+J931+J933+J936+J938</f>
        <v>708694.94000000018</v>
      </c>
      <c r="K546" s="117">
        <f>K547+K681+K699+K758+K779+K783+K801+K804+K809+K812+K814+K817+K819+K821+K828+K833+K835+K837+K839+K841+K843+K845+K847+K856+K858+K861+K863+K865+K870+K873+K875+K877+K879+K881+K883+K885+K887+K893+K891+K895+K901+K904+K906+K908+K910+K912+K914+K918+K921+K923+K925+K927+K931+K933+K936+K938</f>
        <v>611472.47000000044</v>
      </c>
      <c r="L546" s="127">
        <f>L547+L681+L699+L758+L779+L783+L801+L804+L809+L812+L814+L817+L819+L821+L828+L833+L835+L837+L839+L841+L843+L845+L847+L856+L858+L861+L863+L865+L870+L873+L875+L877+L879+L881+L883+L885+L887+L893+L891+L895+L901+L904+L906+L908+L910+L912+L914+L918+L921+L923+L925+L927+L931+L933+L936+L938</f>
        <v>32617</v>
      </c>
      <c r="M546" s="126" t="s">
        <v>916</v>
      </c>
      <c r="N546" s="126" t="s">
        <v>916</v>
      </c>
      <c r="O546" s="124" t="s">
        <v>916</v>
      </c>
      <c r="P546" s="117">
        <v>888207694.61000001</v>
      </c>
      <c r="Q546" s="117">
        <f>Q547+Q681+Q699+Q758+Q779+Q783+Q801+Q804+Q809+Q812+Q814+Q817+Q819+Q821+Q828+Q833+Q835+Q837+Q839+Q841+Q843+Q845+Q847+Q856+Q858+Q861+Q863+Q865+Q870+Q873+Q875+Q877+Q879+Q881+Q883+Q885+Q887+Q893+Q891+Q895+Q901+Q904+Q906+Q908+Q910+Q912+Q914+Q918+Q921+Q923+Q925+Q927+Q931+Q933+Q936+Q938</f>
        <v>0</v>
      </c>
      <c r="R546" s="117">
        <f>R547+R681+R699+R758+R779+R783+R801+R804+R809+R812+R814+R817+R819+R821+R828+R833+R835+R837+R839+R841+R843+R845+R847+R856+R858+R861+R863+R865+R870+R873+R875+R877+R879+R881+R883+R885+R887+R893+R891+R895+R901+R904+R906+R908+R910+R912+R914+R918+R921+R923+R925+R927+R931+R933+R936+R938</f>
        <v>2523423.19</v>
      </c>
      <c r="S546" s="117">
        <f>S547+S681+S699+S758+S779+S783+S801+S804+S809+S812+S814+S817+S819+S821+S828+S833+S835+S837+S839+S841+S843+S845+S847+S856+S858+S861+S863+S865+S870+S873+S875+S877+S879+S881+S883+S885+S887+S893+S891+S895+S901+S904+S906+S908+S910+S912+S914+S918+S921+S923+S925+S927+S931+S933+S936+S938</f>
        <v>885684271.42000008</v>
      </c>
      <c r="T546" s="118">
        <f t="shared" si="72"/>
        <v>1057.4737537692861</v>
      </c>
      <c r="U546" s="118">
        <f>MAX(U547:U939)</f>
        <v>10692.45</v>
      </c>
      <c r="V546" s="183">
        <f t="shared" si="75"/>
        <v>9634.9762462307153</v>
      </c>
      <c r="W546" s="183"/>
      <c r="X546" s="183"/>
      <c r="Y546" s="64" t="e">
        <f t="shared" si="76"/>
        <v>#N/A</v>
      </c>
      <c r="AA546" s="64" t="e">
        <f t="shared" si="77"/>
        <v>#N/A</v>
      </c>
      <c r="AC546" s="64" t="s">
        <v>489</v>
      </c>
      <c r="AD546" s="64">
        <v>398.44</v>
      </c>
      <c r="AH546" s="64" t="e">
        <f t="shared" si="78"/>
        <v>#N/A</v>
      </c>
      <c r="AS546" s="64" t="e">
        <f t="shared" si="79"/>
        <v>#N/A</v>
      </c>
    </row>
    <row r="547" spans="1:45" s="64" customFormat="1" ht="36" customHeight="1" x14ac:dyDescent="0.9">
      <c r="B547" s="91" t="s">
        <v>1119</v>
      </c>
      <c r="C547" s="172"/>
      <c r="D547" s="126" t="s">
        <v>916</v>
      </c>
      <c r="E547" s="126" t="s">
        <v>916</v>
      </c>
      <c r="F547" s="126" t="s">
        <v>916</v>
      </c>
      <c r="G547" s="126" t="s">
        <v>916</v>
      </c>
      <c r="H547" s="126" t="s">
        <v>916</v>
      </c>
      <c r="I547" s="117">
        <f>SUM(I548:I680)</f>
        <v>434844.25000000006</v>
      </c>
      <c r="J547" s="117">
        <f>SUM(J548:J680)</f>
        <v>391955.69999999984</v>
      </c>
      <c r="K547" s="117">
        <f>SUM(K548:K680)</f>
        <v>316333.84000000014</v>
      </c>
      <c r="L547" s="127">
        <f>SUM(L548:L680)</f>
        <v>17619</v>
      </c>
      <c r="M547" s="126" t="s">
        <v>916</v>
      </c>
      <c r="N547" s="126" t="s">
        <v>916</v>
      </c>
      <c r="O547" s="124" t="s">
        <v>916</v>
      </c>
      <c r="P547" s="117">
        <v>281557554.18999988</v>
      </c>
      <c r="Q547" s="117">
        <f>SUM(Q548:Q680)</f>
        <v>0</v>
      </c>
      <c r="R547" s="117">
        <f>SUM(R548:R680)</f>
        <v>0</v>
      </c>
      <c r="S547" s="117">
        <f>SUM(S548:S680)</f>
        <v>281557554.18999988</v>
      </c>
      <c r="T547" s="118">
        <f t="shared" si="72"/>
        <v>647.49057666049362</v>
      </c>
      <c r="U547" s="118">
        <f>MAX(U548:U660)</f>
        <v>7231.9971893208103</v>
      </c>
      <c r="V547" s="183">
        <f t="shared" si="75"/>
        <v>6584.5066126603169</v>
      </c>
      <c r="W547" s="183"/>
      <c r="X547" s="183"/>
      <c r="Y547" s="64" t="e">
        <f t="shared" si="76"/>
        <v>#N/A</v>
      </c>
      <c r="AA547" s="64" t="e">
        <f t="shared" si="77"/>
        <v>#N/A</v>
      </c>
      <c r="AC547" s="64" t="s">
        <v>1645</v>
      </c>
      <c r="AD547" s="64">
        <v>404.2</v>
      </c>
      <c r="AH547" s="64" t="e">
        <f t="shared" si="78"/>
        <v>#N/A</v>
      </c>
      <c r="AS547" s="64" t="e">
        <f t="shared" si="79"/>
        <v>#N/A</v>
      </c>
    </row>
    <row r="548" spans="1:45" s="64" customFormat="1" ht="36" customHeight="1" x14ac:dyDescent="0.9">
      <c r="A548" s="64">
        <v>1</v>
      </c>
      <c r="B548" s="92">
        <f>SUBTOTAL(103,$A548:A$548)</f>
        <v>1</v>
      </c>
      <c r="C548" s="91" t="s">
        <v>539</v>
      </c>
      <c r="D548" s="126" t="s">
        <v>359</v>
      </c>
      <c r="E548" s="126"/>
      <c r="F548" s="145" t="s">
        <v>273</v>
      </c>
      <c r="G548" s="126" t="s">
        <v>360</v>
      </c>
      <c r="H548" s="126">
        <v>4</v>
      </c>
      <c r="I548" s="117">
        <v>3486.3</v>
      </c>
      <c r="J548" s="117">
        <v>3020.1</v>
      </c>
      <c r="K548" s="117">
        <v>2123</v>
      </c>
      <c r="L548" s="127">
        <v>136</v>
      </c>
      <c r="M548" s="126" t="s">
        <v>271</v>
      </c>
      <c r="N548" s="126" t="s">
        <v>275</v>
      </c>
      <c r="O548" s="124" t="s">
        <v>1102</v>
      </c>
      <c r="P548" s="118">
        <v>4625631.57</v>
      </c>
      <c r="Q548" s="118">
        <v>0</v>
      </c>
      <c r="R548" s="118">
        <v>0</v>
      </c>
      <c r="S548" s="118">
        <f t="shared" ref="S548:S611" si="80">P548-Q548-R548</f>
        <v>4625631.57</v>
      </c>
      <c r="T548" s="118">
        <f t="shared" si="72"/>
        <v>1326.8025040874279</v>
      </c>
      <c r="U548" s="118">
        <f>Y548</f>
        <v>1407.9373547887444</v>
      </c>
      <c r="V548" s="183">
        <f t="shared" si="75"/>
        <v>81.134850701316509</v>
      </c>
      <c r="W548" s="183"/>
      <c r="X548" s="183"/>
      <c r="Y548" s="64">
        <f t="shared" si="76"/>
        <v>1407.9373547887444</v>
      </c>
      <c r="AA548" s="64">
        <f t="shared" si="77"/>
        <v>940</v>
      </c>
      <c r="AC548" s="64" t="s">
        <v>433</v>
      </c>
      <c r="AD548" s="64">
        <v>930</v>
      </c>
      <c r="AH548" s="64" t="e">
        <f t="shared" si="78"/>
        <v>#N/A</v>
      </c>
      <c r="AS548" s="64" t="e">
        <f t="shared" si="79"/>
        <v>#N/A</v>
      </c>
    </row>
    <row r="549" spans="1:45" s="64" customFormat="1" ht="36" customHeight="1" x14ac:dyDescent="0.9">
      <c r="A549" s="64">
        <v>1</v>
      </c>
      <c r="B549" s="92">
        <f>SUBTOTAL(103,$A$548:A549)</f>
        <v>2</v>
      </c>
      <c r="C549" s="91" t="s">
        <v>540</v>
      </c>
      <c r="D549" s="126" t="s">
        <v>361</v>
      </c>
      <c r="E549" s="126"/>
      <c r="F549" s="145" t="s">
        <v>319</v>
      </c>
      <c r="G549" s="126" t="s">
        <v>360</v>
      </c>
      <c r="H549" s="126">
        <v>4</v>
      </c>
      <c r="I549" s="117">
        <v>3788.4</v>
      </c>
      <c r="J549" s="117">
        <v>3519.1</v>
      </c>
      <c r="K549" s="117">
        <v>2414</v>
      </c>
      <c r="L549" s="127">
        <v>100</v>
      </c>
      <c r="M549" s="126" t="s">
        <v>271</v>
      </c>
      <c r="N549" s="126" t="s">
        <v>275</v>
      </c>
      <c r="O549" s="124" t="s">
        <v>1102</v>
      </c>
      <c r="P549" s="118">
        <v>4549323.9899999993</v>
      </c>
      <c r="Q549" s="118">
        <v>0</v>
      </c>
      <c r="R549" s="118">
        <v>0</v>
      </c>
      <c r="S549" s="118">
        <f t="shared" si="80"/>
        <v>4549323.9899999993</v>
      </c>
      <c r="T549" s="118">
        <f t="shared" si="72"/>
        <v>1200.8562955337343</v>
      </c>
      <c r="U549" s="118">
        <f>Y549</f>
        <v>1323.2309154260374</v>
      </c>
      <c r="V549" s="183">
        <f t="shared" si="75"/>
        <v>122.37461989230314</v>
      </c>
      <c r="W549" s="183"/>
      <c r="X549" s="183"/>
      <c r="Y549" s="64">
        <f t="shared" si="76"/>
        <v>1323.2309154260374</v>
      </c>
      <c r="AA549" s="64">
        <f t="shared" si="77"/>
        <v>960</v>
      </c>
      <c r="AC549" s="64" t="s">
        <v>434</v>
      </c>
      <c r="AD549" s="64">
        <v>594</v>
      </c>
      <c r="AH549" s="64" t="e">
        <f t="shared" si="78"/>
        <v>#N/A</v>
      </c>
      <c r="AS549" s="64" t="e">
        <f t="shared" si="79"/>
        <v>#N/A</v>
      </c>
    </row>
    <row r="550" spans="1:45" s="64" customFormat="1" ht="36" customHeight="1" x14ac:dyDescent="0.9">
      <c r="A550" s="64">
        <v>1</v>
      </c>
      <c r="B550" s="92">
        <f>SUBTOTAL(103,$A$548:A550)</f>
        <v>3</v>
      </c>
      <c r="C550" s="91" t="s">
        <v>541</v>
      </c>
      <c r="D550" s="126" t="s">
        <v>322</v>
      </c>
      <c r="E550" s="126"/>
      <c r="F550" s="145" t="s">
        <v>319</v>
      </c>
      <c r="G550" s="126" t="s">
        <v>360</v>
      </c>
      <c r="H550" s="126">
        <v>4</v>
      </c>
      <c r="I550" s="117">
        <v>3837.6</v>
      </c>
      <c r="J550" s="117">
        <v>3545.4</v>
      </c>
      <c r="K550" s="117">
        <v>2406.4</v>
      </c>
      <c r="L550" s="127">
        <v>162</v>
      </c>
      <c r="M550" s="126" t="s">
        <v>271</v>
      </c>
      <c r="N550" s="126" t="s">
        <v>275</v>
      </c>
      <c r="O550" s="124" t="s">
        <v>1102</v>
      </c>
      <c r="P550" s="118">
        <v>4549323.9899999993</v>
      </c>
      <c r="Q550" s="118">
        <v>0</v>
      </c>
      <c r="R550" s="118">
        <v>0</v>
      </c>
      <c r="S550" s="118">
        <f t="shared" si="80"/>
        <v>4549323.9899999993</v>
      </c>
      <c r="T550" s="118">
        <f t="shared" si="72"/>
        <v>1185.4607020012506</v>
      </c>
      <c r="U550" s="118">
        <f>Y550</f>
        <v>1306.266416510319</v>
      </c>
      <c r="V550" s="183">
        <f t="shared" si="75"/>
        <v>120.80571450906837</v>
      </c>
      <c r="W550" s="183"/>
      <c r="X550" s="183"/>
      <c r="Y550" s="64">
        <f t="shared" si="76"/>
        <v>1306.266416510319</v>
      </c>
      <c r="AA550" s="64">
        <f t="shared" si="77"/>
        <v>960</v>
      </c>
      <c r="AC550" s="64" t="s">
        <v>435</v>
      </c>
      <c r="AD550" s="64">
        <v>1118</v>
      </c>
      <c r="AH550" s="64" t="e">
        <f t="shared" si="78"/>
        <v>#N/A</v>
      </c>
      <c r="AS550" s="64" t="e">
        <f t="shared" si="79"/>
        <v>#N/A</v>
      </c>
    </row>
    <row r="551" spans="1:45" s="64" customFormat="1" ht="36" customHeight="1" x14ac:dyDescent="0.9">
      <c r="A551" s="64">
        <v>1</v>
      </c>
      <c r="B551" s="92">
        <f>SUBTOTAL(103,$A$548:A551)</f>
        <v>4</v>
      </c>
      <c r="C551" s="91" t="s">
        <v>542</v>
      </c>
      <c r="D551" s="126" t="s">
        <v>318</v>
      </c>
      <c r="E551" s="126"/>
      <c r="F551" s="145" t="s">
        <v>319</v>
      </c>
      <c r="G551" s="126" t="s">
        <v>360</v>
      </c>
      <c r="H551" s="126">
        <v>3</v>
      </c>
      <c r="I551" s="117">
        <v>2494.5</v>
      </c>
      <c r="J551" s="117">
        <v>2290.6</v>
      </c>
      <c r="K551" s="117">
        <v>2237.6</v>
      </c>
      <c r="L551" s="127">
        <v>118</v>
      </c>
      <c r="M551" s="126" t="s">
        <v>271</v>
      </c>
      <c r="N551" s="126" t="s">
        <v>275</v>
      </c>
      <c r="O551" s="124" t="s">
        <v>1103</v>
      </c>
      <c r="P551" s="118">
        <v>3263607.5799999996</v>
      </c>
      <c r="Q551" s="118">
        <v>0</v>
      </c>
      <c r="R551" s="118">
        <v>0</v>
      </c>
      <c r="S551" s="118">
        <f t="shared" si="80"/>
        <v>3263607.5799999996</v>
      </c>
      <c r="T551" s="118">
        <f t="shared" si="72"/>
        <v>1308.3213389456803</v>
      </c>
      <c r="U551" s="118">
        <f>Y551</f>
        <v>1375.5240649428745</v>
      </c>
      <c r="V551" s="183">
        <f t="shared" si="75"/>
        <v>67.202725997194193</v>
      </c>
      <c r="W551" s="183"/>
      <c r="X551" s="183"/>
      <c r="Y551" s="64">
        <f t="shared" si="76"/>
        <v>1375.5240649428745</v>
      </c>
      <c r="AA551" s="64">
        <f t="shared" si="77"/>
        <v>657.1</v>
      </c>
      <c r="AC551" s="64" t="s">
        <v>437</v>
      </c>
      <c r="AD551" s="64">
        <v>734</v>
      </c>
      <c r="AH551" s="64" t="e">
        <f t="shared" si="78"/>
        <v>#N/A</v>
      </c>
      <c r="AS551" s="64" t="e">
        <f t="shared" si="79"/>
        <v>#N/A</v>
      </c>
    </row>
    <row r="552" spans="1:45" s="64" customFormat="1" ht="36" customHeight="1" x14ac:dyDescent="0.9">
      <c r="A552" s="64">
        <v>1</v>
      </c>
      <c r="B552" s="92">
        <f>SUBTOTAL(103,$A$548:A552)</f>
        <v>5</v>
      </c>
      <c r="C552" s="91" t="s">
        <v>543</v>
      </c>
      <c r="D552" s="126">
        <v>1993</v>
      </c>
      <c r="E552" s="126"/>
      <c r="F552" s="145" t="s">
        <v>319</v>
      </c>
      <c r="G552" s="126">
        <v>9</v>
      </c>
      <c r="H552" s="126">
        <v>1</v>
      </c>
      <c r="I552" s="117">
        <v>2320.3000000000002</v>
      </c>
      <c r="J552" s="117">
        <v>2320.3000000000002</v>
      </c>
      <c r="K552" s="117">
        <v>2280.8000000000002</v>
      </c>
      <c r="L552" s="127">
        <v>90</v>
      </c>
      <c r="M552" s="126" t="s">
        <v>271</v>
      </c>
      <c r="N552" s="126" t="s">
        <v>275</v>
      </c>
      <c r="O552" s="124" t="s">
        <v>1415</v>
      </c>
      <c r="P552" s="118">
        <v>2149444.66</v>
      </c>
      <c r="Q552" s="118">
        <v>0</v>
      </c>
      <c r="R552" s="118">
        <v>0</v>
      </c>
      <c r="S552" s="118">
        <f t="shared" si="80"/>
        <v>2149444.66</v>
      </c>
      <c r="T552" s="118">
        <f t="shared" si="72"/>
        <v>926.36497866655168</v>
      </c>
      <c r="U552" s="118">
        <f>AR552</f>
        <v>951.34810153859405</v>
      </c>
      <c r="V552" s="183">
        <f t="shared" si="75"/>
        <v>24.983122872042372</v>
      </c>
      <c r="W552" s="183"/>
      <c r="X552" s="183"/>
      <c r="Y552" s="64" t="e">
        <f t="shared" si="76"/>
        <v>#N/A</v>
      </c>
      <c r="AA552" s="64" t="e">
        <f t="shared" si="77"/>
        <v>#N/A</v>
      </c>
      <c r="AC552" s="64" t="s">
        <v>438</v>
      </c>
      <c r="AD552" s="64">
        <v>1714</v>
      </c>
      <c r="AH552" s="64" t="e">
        <f t="shared" si="78"/>
        <v>#N/A</v>
      </c>
      <c r="AR552" s="64">
        <f>AS552*2207413/I552</f>
        <v>951.34810153859405</v>
      </c>
      <c r="AS552" s="64">
        <f t="shared" si="79"/>
        <v>1</v>
      </c>
    </row>
    <row r="553" spans="1:45" s="64" customFormat="1" ht="36" customHeight="1" x14ac:dyDescent="0.9">
      <c r="A553" s="64">
        <v>1</v>
      </c>
      <c r="B553" s="92">
        <f>SUBTOTAL(103,$A$548:A553)</f>
        <v>6</v>
      </c>
      <c r="C553" s="91" t="s">
        <v>544</v>
      </c>
      <c r="D553" s="126">
        <v>1995</v>
      </c>
      <c r="E553" s="126"/>
      <c r="F553" s="145" t="s">
        <v>319</v>
      </c>
      <c r="G553" s="126">
        <v>9</v>
      </c>
      <c r="H553" s="126">
        <v>1</v>
      </c>
      <c r="I553" s="117">
        <v>2297.9</v>
      </c>
      <c r="J553" s="117">
        <v>2297.9</v>
      </c>
      <c r="K553" s="117">
        <v>2290.8000000000002</v>
      </c>
      <c r="L553" s="127">
        <v>95</v>
      </c>
      <c r="M553" s="126" t="s">
        <v>271</v>
      </c>
      <c r="N553" s="126" t="s">
        <v>275</v>
      </c>
      <c r="O553" s="124" t="s">
        <v>1415</v>
      </c>
      <c r="P553" s="118">
        <v>2149444.66</v>
      </c>
      <c r="Q553" s="118">
        <v>0</v>
      </c>
      <c r="R553" s="118">
        <v>0</v>
      </c>
      <c r="S553" s="118">
        <f t="shared" si="80"/>
        <v>2149444.66</v>
      </c>
      <c r="T553" s="118">
        <f t="shared" si="72"/>
        <v>935.39521302058404</v>
      </c>
      <c r="U553" s="118">
        <f>AR553</f>
        <v>960.62187214413154</v>
      </c>
      <c r="V553" s="183">
        <f t="shared" si="75"/>
        <v>25.226659123547506</v>
      </c>
      <c r="W553" s="183"/>
      <c r="X553" s="183"/>
      <c r="Y553" s="64" t="e">
        <f t="shared" si="76"/>
        <v>#N/A</v>
      </c>
      <c r="AA553" s="64" t="e">
        <f t="shared" si="77"/>
        <v>#N/A</v>
      </c>
      <c r="AC553" s="64" t="s">
        <v>439</v>
      </c>
      <c r="AD553" s="64">
        <v>600</v>
      </c>
      <c r="AH553" s="64" t="e">
        <f t="shared" si="78"/>
        <v>#N/A</v>
      </c>
      <c r="AR553" s="64">
        <f>AS553*2207413/I553</f>
        <v>960.62187214413154</v>
      </c>
      <c r="AS553" s="64">
        <f t="shared" si="79"/>
        <v>1</v>
      </c>
    </row>
    <row r="554" spans="1:45" s="64" customFormat="1" ht="36" customHeight="1" x14ac:dyDescent="0.9">
      <c r="A554" s="64">
        <v>1</v>
      </c>
      <c r="B554" s="92">
        <f>SUBTOTAL(103,$A$548:A554)</f>
        <v>7</v>
      </c>
      <c r="C554" s="91" t="s">
        <v>545</v>
      </c>
      <c r="D554" s="126" t="s">
        <v>313</v>
      </c>
      <c r="E554" s="126"/>
      <c r="F554" s="145" t="s">
        <v>319</v>
      </c>
      <c r="G554" s="126" t="s">
        <v>360</v>
      </c>
      <c r="H554" s="126">
        <v>5</v>
      </c>
      <c r="I554" s="117">
        <v>3875.8</v>
      </c>
      <c r="J554" s="117">
        <v>3540</v>
      </c>
      <c r="K554" s="117">
        <v>2482.6999999999998</v>
      </c>
      <c r="L554" s="127">
        <v>168</v>
      </c>
      <c r="M554" s="126" t="s">
        <v>271</v>
      </c>
      <c r="N554" s="126" t="s">
        <v>275</v>
      </c>
      <c r="O554" s="124" t="s">
        <v>1102</v>
      </c>
      <c r="P554" s="118">
        <v>4642018.24</v>
      </c>
      <c r="Q554" s="118">
        <v>0</v>
      </c>
      <c r="R554" s="118">
        <v>0</v>
      </c>
      <c r="S554" s="118">
        <f t="shared" si="80"/>
        <v>4642018.24</v>
      </c>
      <c r="T554" s="118">
        <f t="shared" si="72"/>
        <v>1197.6929253315445</v>
      </c>
      <c r="U554" s="118">
        <f>Y554</f>
        <v>1320.3374787140719</v>
      </c>
      <c r="V554" s="183">
        <f t="shared" si="75"/>
        <v>122.64455338252742</v>
      </c>
      <c r="W554" s="183"/>
      <c r="X554" s="183"/>
      <c r="Y554" s="64">
        <f t="shared" si="76"/>
        <v>1320.3374787140719</v>
      </c>
      <c r="AA554" s="64">
        <f t="shared" si="77"/>
        <v>980</v>
      </c>
      <c r="AC554" s="64" t="s">
        <v>440</v>
      </c>
      <c r="AD554" s="64">
        <v>350</v>
      </c>
      <c r="AH554" s="64" t="e">
        <f t="shared" si="78"/>
        <v>#N/A</v>
      </c>
      <c r="AS554" s="64" t="e">
        <f t="shared" si="79"/>
        <v>#N/A</v>
      </c>
    </row>
    <row r="555" spans="1:45" s="64" customFormat="1" ht="36" customHeight="1" x14ac:dyDescent="0.9">
      <c r="A555" s="64">
        <v>1</v>
      </c>
      <c r="B555" s="92">
        <f>SUBTOTAL(103,$A$548:A555)</f>
        <v>8</v>
      </c>
      <c r="C555" s="91" t="s">
        <v>546</v>
      </c>
      <c r="D555" s="126" t="s">
        <v>362</v>
      </c>
      <c r="E555" s="126"/>
      <c r="F555" s="145" t="s">
        <v>273</v>
      </c>
      <c r="G555" s="126" t="s">
        <v>360</v>
      </c>
      <c r="H555" s="126">
        <v>2</v>
      </c>
      <c r="I555" s="117">
        <v>2473.3000000000002</v>
      </c>
      <c r="J555" s="117">
        <v>1702</v>
      </c>
      <c r="K555" s="117">
        <v>1117.3</v>
      </c>
      <c r="L555" s="127">
        <v>84</v>
      </c>
      <c r="M555" s="126" t="s">
        <v>271</v>
      </c>
      <c r="N555" s="126" t="s">
        <v>275</v>
      </c>
      <c r="O555" s="124" t="s">
        <v>1118</v>
      </c>
      <c r="P555" s="118">
        <v>3518296.02</v>
      </c>
      <c r="Q555" s="118">
        <v>0</v>
      </c>
      <c r="R555" s="118">
        <v>0</v>
      </c>
      <c r="S555" s="118">
        <f t="shared" si="80"/>
        <v>3518296.02</v>
      </c>
      <c r="T555" s="118">
        <f t="shared" si="72"/>
        <v>1422.5108235960051</v>
      </c>
      <c r="U555" s="118">
        <f>Y555</f>
        <v>1499.0005256135526</v>
      </c>
      <c r="V555" s="183">
        <f t="shared" si="75"/>
        <v>76.489702017547415</v>
      </c>
      <c r="W555" s="183"/>
      <c r="X555" s="183"/>
      <c r="Y555" s="64">
        <f t="shared" si="76"/>
        <v>1499.0005256135526</v>
      </c>
      <c r="AA555" s="64">
        <f t="shared" si="77"/>
        <v>710</v>
      </c>
      <c r="AC555" s="64" t="s">
        <v>209</v>
      </c>
      <c r="AD555" s="64">
        <v>999</v>
      </c>
      <c r="AH555" s="64" t="e">
        <f t="shared" si="78"/>
        <v>#N/A</v>
      </c>
      <c r="AS555" s="64" t="e">
        <f t="shared" si="79"/>
        <v>#N/A</v>
      </c>
    </row>
    <row r="556" spans="1:45" s="64" customFormat="1" ht="36" customHeight="1" x14ac:dyDescent="0.9">
      <c r="A556" s="64">
        <v>1</v>
      </c>
      <c r="B556" s="92">
        <f>SUBTOTAL(103,$A$548:A556)</f>
        <v>9</v>
      </c>
      <c r="C556" s="91" t="s">
        <v>1406</v>
      </c>
      <c r="D556" s="126">
        <v>1986</v>
      </c>
      <c r="E556" s="126"/>
      <c r="F556" s="145" t="s">
        <v>319</v>
      </c>
      <c r="G556" s="126">
        <v>9</v>
      </c>
      <c r="H556" s="126">
        <v>6</v>
      </c>
      <c r="I556" s="117">
        <v>12835.6</v>
      </c>
      <c r="J556" s="117">
        <v>11520.6</v>
      </c>
      <c r="K556" s="117">
        <v>11110.5</v>
      </c>
      <c r="L556" s="127">
        <v>540</v>
      </c>
      <c r="M556" s="126" t="s">
        <v>271</v>
      </c>
      <c r="N556" s="126" t="s">
        <v>275</v>
      </c>
      <c r="O556" s="124" t="s">
        <v>1118</v>
      </c>
      <c r="P556" s="118">
        <v>13689818</v>
      </c>
      <c r="Q556" s="118">
        <v>0</v>
      </c>
      <c r="R556" s="118">
        <v>0</v>
      </c>
      <c r="S556" s="118">
        <f t="shared" si="80"/>
        <v>13689818</v>
      </c>
      <c r="T556" s="118">
        <f t="shared" si="72"/>
        <v>1066.5506871513603</v>
      </c>
      <c r="U556" s="118">
        <f>T556</f>
        <v>1066.5506871513603</v>
      </c>
      <c r="V556" s="183">
        <f t="shared" si="75"/>
        <v>0</v>
      </c>
      <c r="W556" s="183"/>
      <c r="X556" s="183"/>
      <c r="Y556" s="64" t="e">
        <f t="shared" si="76"/>
        <v>#N/A</v>
      </c>
      <c r="AA556" s="64" t="e">
        <f t="shared" si="77"/>
        <v>#N/A</v>
      </c>
      <c r="AC556" s="64" t="s">
        <v>441</v>
      </c>
      <c r="AD556" s="64">
        <v>1024</v>
      </c>
      <c r="AH556" s="64" t="e">
        <f t="shared" si="78"/>
        <v>#N/A</v>
      </c>
      <c r="AR556" s="64">
        <f>AS556*2207413/I556</f>
        <v>1031.8549970394838</v>
      </c>
      <c r="AS556" s="64">
        <f t="shared" si="79"/>
        <v>6</v>
      </c>
    </row>
    <row r="557" spans="1:45" s="64" customFormat="1" ht="36" customHeight="1" x14ac:dyDescent="0.9">
      <c r="A557" s="64">
        <v>1</v>
      </c>
      <c r="B557" s="92">
        <f>SUBTOTAL(103,$A$548:A557)</f>
        <v>10</v>
      </c>
      <c r="C557" s="91" t="s">
        <v>547</v>
      </c>
      <c r="D557" s="126" t="s">
        <v>363</v>
      </c>
      <c r="E557" s="126"/>
      <c r="F557" s="145" t="s">
        <v>273</v>
      </c>
      <c r="G557" s="126" t="s">
        <v>320</v>
      </c>
      <c r="H557" s="126">
        <v>2</v>
      </c>
      <c r="I557" s="117">
        <v>944.2</v>
      </c>
      <c r="J557" s="117">
        <v>863.6</v>
      </c>
      <c r="K557" s="117">
        <v>732.5</v>
      </c>
      <c r="L557" s="127">
        <v>48</v>
      </c>
      <c r="M557" s="126" t="s">
        <v>271</v>
      </c>
      <c r="N557" s="126" t="s">
        <v>275</v>
      </c>
      <c r="O557" s="124" t="s">
        <v>1427</v>
      </c>
      <c r="P557" s="118">
        <v>2570383.31</v>
      </c>
      <c r="Q557" s="118">
        <v>0</v>
      </c>
      <c r="R557" s="118">
        <v>0</v>
      </c>
      <c r="S557" s="118">
        <f t="shared" si="80"/>
        <v>2570383.31</v>
      </c>
      <c r="T557" s="118">
        <f t="shared" si="72"/>
        <v>2722.2869201440371</v>
      </c>
      <c r="U557" s="118">
        <f t="shared" ref="U557:U569" si="81">Y557</f>
        <v>2875.8059733107393</v>
      </c>
      <c r="V557" s="183">
        <f t="shared" si="75"/>
        <v>153.51905316670218</v>
      </c>
      <c r="W557" s="183"/>
      <c r="X557" s="183"/>
      <c r="Y557" s="64">
        <f t="shared" si="76"/>
        <v>2875.8059733107393</v>
      </c>
      <c r="AA557" s="64">
        <f t="shared" si="77"/>
        <v>520</v>
      </c>
      <c r="AC557" s="64" t="s">
        <v>443</v>
      </c>
      <c r="AD557" s="64">
        <v>600</v>
      </c>
      <c r="AH557" s="64" t="e">
        <f t="shared" si="78"/>
        <v>#N/A</v>
      </c>
      <c r="AS557" s="64" t="e">
        <f t="shared" si="79"/>
        <v>#N/A</v>
      </c>
    </row>
    <row r="558" spans="1:45" s="64" customFormat="1" ht="36" customHeight="1" x14ac:dyDescent="0.9">
      <c r="A558" s="64">
        <v>1</v>
      </c>
      <c r="B558" s="92">
        <f>SUBTOTAL(103,$A$548:A558)</f>
        <v>11</v>
      </c>
      <c r="C558" s="91" t="s">
        <v>548</v>
      </c>
      <c r="D558" s="126" t="s">
        <v>364</v>
      </c>
      <c r="E558" s="126"/>
      <c r="F558" s="145" t="s">
        <v>273</v>
      </c>
      <c r="G558" s="126" t="s">
        <v>360</v>
      </c>
      <c r="H558" s="126">
        <v>1</v>
      </c>
      <c r="I558" s="117">
        <v>4677.8999999999996</v>
      </c>
      <c r="J558" s="117">
        <v>2936.3</v>
      </c>
      <c r="K558" s="117">
        <v>2632.1</v>
      </c>
      <c r="L558" s="127">
        <v>196</v>
      </c>
      <c r="M558" s="126" t="s">
        <v>271</v>
      </c>
      <c r="N558" s="126" t="s">
        <v>275</v>
      </c>
      <c r="O558" s="124" t="s">
        <v>1413</v>
      </c>
      <c r="P558" s="118">
        <v>4554037.87</v>
      </c>
      <c r="Q558" s="118">
        <v>0</v>
      </c>
      <c r="R558" s="118">
        <v>0</v>
      </c>
      <c r="S558" s="118">
        <f t="shared" si="80"/>
        <v>4554037.87</v>
      </c>
      <c r="T558" s="118">
        <f t="shared" si="72"/>
        <v>973.52185168558549</v>
      </c>
      <c r="U558" s="118">
        <f t="shared" si="81"/>
        <v>1032.6949772333739</v>
      </c>
      <c r="V558" s="183">
        <f t="shared" si="75"/>
        <v>59.173125547788459</v>
      </c>
      <c r="W558" s="183"/>
      <c r="X558" s="183"/>
      <c r="Y558" s="64">
        <f t="shared" si="76"/>
        <v>1032.6949772333739</v>
      </c>
      <c r="AA558" s="64">
        <f t="shared" si="77"/>
        <v>925.13</v>
      </c>
      <c r="AC558" s="64" t="s">
        <v>444</v>
      </c>
      <c r="AD558" s="64">
        <v>747</v>
      </c>
      <c r="AH558" s="64" t="e">
        <f t="shared" si="78"/>
        <v>#N/A</v>
      </c>
      <c r="AS558" s="64" t="e">
        <f t="shared" si="79"/>
        <v>#N/A</v>
      </c>
    </row>
    <row r="559" spans="1:45" s="64" customFormat="1" ht="36" customHeight="1" x14ac:dyDescent="0.9">
      <c r="A559" s="64">
        <v>1</v>
      </c>
      <c r="B559" s="92">
        <f>SUBTOTAL(103,$A$548:A559)</f>
        <v>12</v>
      </c>
      <c r="C559" s="91" t="s">
        <v>549</v>
      </c>
      <c r="D559" s="126" t="s">
        <v>386</v>
      </c>
      <c r="E559" s="126"/>
      <c r="F559" s="145" t="s">
        <v>273</v>
      </c>
      <c r="G559" s="126" t="s">
        <v>360</v>
      </c>
      <c r="H559" s="126">
        <v>6</v>
      </c>
      <c r="I559" s="117">
        <v>5781</v>
      </c>
      <c r="J559" s="117">
        <v>4320.2</v>
      </c>
      <c r="K559" s="117">
        <v>2890.2</v>
      </c>
      <c r="L559" s="127">
        <v>208</v>
      </c>
      <c r="M559" s="126" t="s">
        <v>271</v>
      </c>
      <c r="N559" s="126" t="s">
        <v>275</v>
      </c>
      <c r="O559" s="124" t="s">
        <v>1102</v>
      </c>
      <c r="P559" s="118">
        <v>3759019.5700000003</v>
      </c>
      <c r="Q559" s="118">
        <v>0</v>
      </c>
      <c r="R559" s="118">
        <v>0</v>
      </c>
      <c r="S559" s="118">
        <f t="shared" si="80"/>
        <v>3759019.5700000003</v>
      </c>
      <c r="T559" s="118">
        <f t="shared" si="72"/>
        <v>650.23690883930124</v>
      </c>
      <c r="U559" s="118">
        <f t="shared" si="81"/>
        <v>686.48469122989104</v>
      </c>
      <c r="V559" s="183">
        <f t="shared" si="75"/>
        <v>36.247782390589805</v>
      </c>
      <c r="W559" s="183"/>
      <c r="X559" s="183"/>
      <c r="Y559" s="64">
        <f t="shared" si="76"/>
        <v>686.48469122989104</v>
      </c>
      <c r="AA559" s="64">
        <f t="shared" si="77"/>
        <v>760</v>
      </c>
      <c r="AC559" s="64" t="s">
        <v>445</v>
      </c>
      <c r="AD559" s="64">
        <v>483</v>
      </c>
      <c r="AH559" s="64" t="e">
        <f t="shared" si="78"/>
        <v>#N/A</v>
      </c>
      <c r="AS559" s="64" t="e">
        <f t="shared" si="79"/>
        <v>#N/A</v>
      </c>
    </row>
    <row r="560" spans="1:45" s="64" customFormat="1" ht="36" customHeight="1" x14ac:dyDescent="0.9">
      <c r="A560" s="64">
        <v>1</v>
      </c>
      <c r="B560" s="92">
        <f>SUBTOTAL(103,$A$548:A560)</f>
        <v>13</v>
      </c>
      <c r="C560" s="91" t="s">
        <v>550</v>
      </c>
      <c r="D560" s="126" t="s">
        <v>315</v>
      </c>
      <c r="E560" s="126"/>
      <c r="F560" s="145" t="s">
        <v>273</v>
      </c>
      <c r="G560" s="126" t="s">
        <v>320</v>
      </c>
      <c r="H560" s="126">
        <v>1</v>
      </c>
      <c r="I560" s="117">
        <v>1243.7</v>
      </c>
      <c r="J560" s="117">
        <v>761.1</v>
      </c>
      <c r="K560" s="117">
        <v>562.1</v>
      </c>
      <c r="L560" s="127">
        <v>53</v>
      </c>
      <c r="M560" s="126" t="s">
        <v>271</v>
      </c>
      <c r="N560" s="126" t="s">
        <v>275</v>
      </c>
      <c r="O560" s="124" t="s">
        <v>1413</v>
      </c>
      <c r="P560" s="118">
        <v>2589386.2599999998</v>
      </c>
      <c r="Q560" s="118">
        <v>0</v>
      </c>
      <c r="R560" s="118">
        <v>0</v>
      </c>
      <c r="S560" s="118">
        <f t="shared" si="80"/>
        <v>2589386.2599999998</v>
      </c>
      <c r="T560" s="118">
        <f t="shared" si="72"/>
        <v>2082.002299589933</v>
      </c>
      <c r="U560" s="118">
        <f t="shared" si="81"/>
        <v>2200.0668971616951</v>
      </c>
      <c r="V560" s="183">
        <f t="shared" si="75"/>
        <v>118.06459757176208</v>
      </c>
      <c r="W560" s="183"/>
      <c r="X560" s="183"/>
      <c r="Y560" s="64">
        <f t="shared" si="76"/>
        <v>2200.0668971616951</v>
      </c>
      <c r="AA560" s="64">
        <f t="shared" si="77"/>
        <v>524</v>
      </c>
      <c r="AC560" s="64" t="s">
        <v>446</v>
      </c>
      <c r="AD560" s="64">
        <v>1501</v>
      </c>
      <c r="AH560" s="64" t="e">
        <f t="shared" si="78"/>
        <v>#N/A</v>
      </c>
      <c r="AS560" s="64" t="e">
        <f t="shared" si="79"/>
        <v>#N/A</v>
      </c>
    </row>
    <row r="561" spans="1:45" s="64" customFormat="1" ht="36" customHeight="1" x14ac:dyDescent="0.9">
      <c r="A561" s="64">
        <v>1</v>
      </c>
      <c r="B561" s="92">
        <f>SUBTOTAL(103,$A$548:A561)</f>
        <v>14</v>
      </c>
      <c r="C561" s="91" t="s">
        <v>551</v>
      </c>
      <c r="D561" s="126" t="s">
        <v>365</v>
      </c>
      <c r="E561" s="126"/>
      <c r="F561" s="145" t="s">
        <v>273</v>
      </c>
      <c r="G561" s="126" t="s">
        <v>366</v>
      </c>
      <c r="H561" s="126">
        <v>1</v>
      </c>
      <c r="I561" s="117">
        <v>7598.06</v>
      </c>
      <c r="J561" s="117">
        <v>5648.6</v>
      </c>
      <c r="K561" s="117">
        <v>3448.8</v>
      </c>
      <c r="L561" s="127">
        <v>338</v>
      </c>
      <c r="M561" s="126" t="s">
        <v>271</v>
      </c>
      <c r="N561" s="126" t="s">
        <v>275</v>
      </c>
      <c r="O561" s="124" t="s">
        <v>1413</v>
      </c>
      <c r="P561" s="118">
        <v>5092635.92</v>
      </c>
      <c r="Q561" s="118">
        <v>0</v>
      </c>
      <c r="R561" s="118">
        <v>0</v>
      </c>
      <c r="S561" s="118">
        <f t="shared" si="80"/>
        <v>5092635.92</v>
      </c>
      <c r="T561" s="118">
        <f t="shared" si="72"/>
        <v>670.25476503212656</v>
      </c>
      <c r="U561" s="118">
        <f t="shared" si="81"/>
        <v>712.68279008062586</v>
      </c>
      <c r="V561" s="183">
        <f t="shared" si="75"/>
        <v>42.428025048499308</v>
      </c>
      <c r="W561" s="183"/>
      <c r="X561" s="183"/>
      <c r="Y561" s="64">
        <f t="shared" si="76"/>
        <v>712.68279008062586</v>
      </c>
      <c r="AA561" s="64">
        <f t="shared" si="77"/>
        <v>1037</v>
      </c>
      <c r="AC561" s="64" t="s">
        <v>447</v>
      </c>
      <c r="AD561" s="64">
        <v>600</v>
      </c>
      <c r="AH561" s="64" t="e">
        <f t="shared" si="78"/>
        <v>#N/A</v>
      </c>
      <c r="AS561" s="64" t="e">
        <f t="shared" si="79"/>
        <v>#N/A</v>
      </c>
    </row>
    <row r="562" spans="1:45" s="64" customFormat="1" ht="36" customHeight="1" x14ac:dyDescent="0.9">
      <c r="A562" s="64">
        <v>1</v>
      </c>
      <c r="B562" s="92">
        <f>SUBTOTAL(103,$A$548:A562)</f>
        <v>15</v>
      </c>
      <c r="C562" s="91" t="s">
        <v>552</v>
      </c>
      <c r="D562" s="126" t="s">
        <v>321</v>
      </c>
      <c r="E562" s="126"/>
      <c r="F562" s="145" t="s">
        <v>319</v>
      </c>
      <c r="G562" s="126" t="s">
        <v>366</v>
      </c>
      <c r="H562" s="126">
        <v>2</v>
      </c>
      <c r="I562" s="117">
        <v>4990.2</v>
      </c>
      <c r="J562" s="117">
        <v>3973.4</v>
      </c>
      <c r="K562" s="117">
        <v>3799.4</v>
      </c>
      <c r="L562" s="127">
        <v>180</v>
      </c>
      <c r="M562" s="126" t="s">
        <v>271</v>
      </c>
      <c r="N562" s="126" t="s">
        <v>275</v>
      </c>
      <c r="O562" s="124" t="s">
        <v>1352</v>
      </c>
      <c r="P562" s="118">
        <v>3229425.65</v>
      </c>
      <c r="Q562" s="118">
        <v>0</v>
      </c>
      <c r="R562" s="118">
        <v>0</v>
      </c>
      <c r="S562" s="118">
        <f t="shared" si="80"/>
        <v>3229425.65</v>
      </c>
      <c r="T562" s="118">
        <f t="shared" si="72"/>
        <v>647.15355095988139</v>
      </c>
      <c r="U562" s="118">
        <f t="shared" si="81"/>
        <v>680.16712757003734</v>
      </c>
      <c r="V562" s="183">
        <f t="shared" si="75"/>
        <v>33.013576610155951</v>
      </c>
      <c r="W562" s="183"/>
      <c r="X562" s="183"/>
      <c r="Y562" s="64">
        <f t="shared" si="76"/>
        <v>680.16712757003734</v>
      </c>
      <c r="AA562" s="64">
        <f t="shared" si="77"/>
        <v>650</v>
      </c>
      <c r="AC562" s="64" t="s">
        <v>448</v>
      </c>
      <c r="AD562" s="64">
        <v>369</v>
      </c>
      <c r="AH562" s="64" t="e">
        <f t="shared" si="78"/>
        <v>#N/A</v>
      </c>
      <c r="AS562" s="64" t="e">
        <f t="shared" si="79"/>
        <v>#N/A</v>
      </c>
    </row>
    <row r="563" spans="1:45" s="64" customFormat="1" ht="36" customHeight="1" x14ac:dyDescent="0.9">
      <c r="A563" s="64">
        <v>1</v>
      </c>
      <c r="B563" s="92">
        <f>SUBTOTAL(103,$A$548:A563)</f>
        <v>16</v>
      </c>
      <c r="C563" s="91" t="s">
        <v>553</v>
      </c>
      <c r="D563" s="126">
        <v>1970</v>
      </c>
      <c r="E563" s="126"/>
      <c r="F563" s="145" t="s">
        <v>273</v>
      </c>
      <c r="G563" s="126">
        <v>5</v>
      </c>
      <c r="H563" s="126">
        <v>4</v>
      </c>
      <c r="I563" s="117">
        <v>3361</v>
      </c>
      <c r="J563" s="117">
        <v>3361</v>
      </c>
      <c r="K563" s="117">
        <v>3735.6</v>
      </c>
      <c r="L563" s="127">
        <v>150</v>
      </c>
      <c r="M563" s="126" t="s">
        <v>271</v>
      </c>
      <c r="N563" s="126" t="s">
        <v>275</v>
      </c>
      <c r="O563" s="124" t="s">
        <v>1696</v>
      </c>
      <c r="P563" s="118">
        <v>5398710.1299999999</v>
      </c>
      <c r="Q563" s="118">
        <v>0</v>
      </c>
      <c r="R563" s="118">
        <v>0</v>
      </c>
      <c r="S563" s="118">
        <f t="shared" si="80"/>
        <v>5398710.1299999999</v>
      </c>
      <c r="T563" s="118">
        <f t="shared" si="72"/>
        <v>1606.2809074680154</v>
      </c>
      <c r="U563" s="118">
        <f t="shared" si="81"/>
        <v>1659.292591490628</v>
      </c>
      <c r="V563" s="183">
        <f t="shared" si="75"/>
        <v>53.011684022612599</v>
      </c>
      <c r="W563" s="183"/>
      <c r="X563" s="183"/>
      <c r="Y563" s="64">
        <f t="shared" si="76"/>
        <v>1659.292591490628</v>
      </c>
      <c r="AA563" s="64">
        <f t="shared" si="77"/>
        <v>1068</v>
      </c>
      <c r="AC563" s="64" t="s">
        <v>214</v>
      </c>
      <c r="AD563" s="64">
        <v>525</v>
      </c>
      <c r="AH563" s="64" t="e">
        <f t="shared" si="78"/>
        <v>#N/A</v>
      </c>
      <c r="AS563" s="64" t="e">
        <f t="shared" si="79"/>
        <v>#N/A</v>
      </c>
    </row>
    <row r="564" spans="1:45" s="64" customFormat="1" ht="36" customHeight="1" x14ac:dyDescent="0.9">
      <c r="A564" s="64">
        <v>1</v>
      </c>
      <c r="B564" s="92">
        <f>SUBTOTAL(103,$A$548:A564)</f>
        <v>17</v>
      </c>
      <c r="C564" s="91" t="s">
        <v>554</v>
      </c>
      <c r="D564" s="126">
        <v>1968</v>
      </c>
      <c r="E564" s="126"/>
      <c r="F564" s="145" t="s">
        <v>273</v>
      </c>
      <c r="G564" s="126" t="s">
        <v>360</v>
      </c>
      <c r="H564" s="126">
        <v>4</v>
      </c>
      <c r="I564" s="117">
        <v>3511.62</v>
      </c>
      <c r="J564" s="117">
        <v>3757.7</v>
      </c>
      <c r="K564" s="117">
        <v>3241.9</v>
      </c>
      <c r="L564" s="127">
        <v>238</v>
      </c>
      <c r="M564" s="126" t="s">
        <v>271</v>
      </c>
      <c r="N564" s="126" t="s">
        <v>275</v>
      </c>
      <c r="O564" s="124" t="s">
        <v>1415</v>
      </c>
      <c r="P564" s="118">
        <v>5145091.9399999995</v>
      </c>
      <c r="Q564" s="118">
        <v>0</v>
      </c>
      <c r="R564" s="118">
        <v>0</v>
      </c>
      <c r="S564" s="118">
        <f t="shared" si="80"/>
        <v>5145091.9399999995</v>
      </c>
      <c r="T564" s="118">
        <f t="shared" si="72"/>
        <v>1465.1619309606392</v>
      </c>
      <c r="U564" s="118">
        <f t="shared" si="81"/>
        <v>1579.2003690604338</v>
      </c>
      <c r="V564" s="183">
        <f t="shared" si="75"/>
        <v>114.03843809979458</v>
      </c>
      <c r="W564" s="183"/>
      <c r="X564" s="183"/>
      <c r="Y564" s="64">
        <f t="shared" si="76"/>
        <v>1579.2003690604338</v>
      </c>
      <c r="AA564" s="64">
        <f t="shared" si="77"/>
        <v>1062</v>
      </c>
      <c r="AC564" s="64" t="s">
        <v>213</v>
      </c>
      <c r="AD564" s="64">
        <v>614</v>
      </c>
      <c r="AH564" s="64" t="e">
        <f t="shared" si="78"/>
        <v>#N/A</v>
      </c>
      <c r="AS564" s="64" t="e">
        <f t="shared" si="79"/>
        <v>#N/A</v>
      </c>
    </row>
    <row r="565" spans="1:45" s="64" customFormat="1" ht="36" customHeight="1" x14ac:dyDescent="0.9">
      <c r="A565" s="64">
        <v>1</v>
      </c>
      <c r="B565" s="92">
        <f>SUBTOTAL(103,$A$548:A565)</f>
        <v>18</v>
      </c>
      <c r="C565" s="91" t="s">
        <v>555</v>
      </c>
      <c r="D565" s="126" t="s">
        <v>323</v>
      </c>
      <c r="E565" s="126"/>
      <c r="F565" s="145" t="s">
        <v>273</v>
      </c>
      <c r="G565" s="126">
        <v>5</v>
      </c>
      <c r="H565" s="126">
        <v>4</v>
      </c>
      <c r="I565" s="117">
        <v>4873.3</v>
      </c>
      <c r="J565" s="117">
        <v>2941.2</v>
      </c>
      <c r="K565" s="117">
        <v>2775.3</v>
      </c>
      <c r="L565" s="127">
        <v>144</v>
      </c>
      <c r="M565" s="126" t="s">
        <v>271</v>
      </c>
      <c r="N565" s="126" t="s">
        <v>275</v>
      </c>
      <c r="O565" s="124" t="s">
        <v>1352</v>
      </c>
      <c r="P565" s="118">
        <v>4517275.3499999996</v>
      </c>
      <c r="Q565" s="118">
        <v>0</v>
      </c>
      <c r="R565" s="118">
        <v>0</v>
      </c>
      <c r="S565" s="118">
        <f t="shared" si="80"/>
        <v>4517275.3499999996</v>
      </c>
      <c r="T565" s="118">
        <f t="shared" si="72"/>
        <v>926.94382656516109</v>
      </c>
      <c r="U565" s="118">
        <f t="shared" si="81"/>
        <v>1050.0818747050253</v>
      </c>
      <c r="V565" s="183">
        <f t="shared" si="75"/>
        <v>123.13804813986417</v>
      </c>
      <c r="W565" s="183"/>
      <c r="X565" s="183"/>
      <c r="Y565" s="64">
        <f t="shared" si="76"/>
        <v>1050.0818747050253</v>
      </c>
      <c r="AA565" s="64">
        <f t="shared" si="77"/>
        <v>980</v>
      </c>
      <c r="AC565" s="64" t="s">
        <v>450</v>
      </c>
      <c r="AD565" s="64">
        <v>370</v>
      </c>
      <c r="AH565" s="64" t="e">
        <f t="shared" si="78"/>
        <v>#N/A</v>
      </c>
      <c r="AS565" s="64" t="e">
        <f t="shared" si="79"/>
        <v>#N/A</v>
      </c>
    </row>
    <row r="566" spans="1:45" s="64" customFormat="1" ht="36" customHeight="1" x14ac:dyDescent="0.9">
      <c r="A566" s="64">
        <v>1</v>
      </c>
      <c r="B566" s="92">
        <f>SUBTOTAL(103,$A$548:A566)</f>
        <v>19</v>
      </c>
      <c r="C566" s="91" t="s">
        <v>822</v>
      </c>
      <c r="D566" s="126">
        <v>1961</v>
      </c>
      <c r="E566" s="126"/>
      <c r="F566" s="145" t="s">
        <v>273</v>
      </c>
      <c r="G566" s="126">
        <v>4</v>
      </c>
      <c r="H566" s="126">
        <v>4</v>
      </c>
      <c r="I566" s="117">
        <v>1126.9000000000001</v>
      </c>
      <c r="J566" s="117">
        <v>893.7</v>
      </c>
      <c r="K566" s="117">
        <v>707.8</v>
      </c>
      <c r="L566" s="127">
        <v>42</v>
      </c>
      <c r="M566" s="126" t="s">
        <v>271</v>
      </c>
      <c r="N566" s="126" t="s">
        <v>275</v>
      </c>
      <c r="O566" s="124" t="s">
        <v>1643</v>
      </c>
      <c r="P566" s="118">
        <v>2739901.57</v>
      </c>
      <c r="Q566" s="118">
        <v>0</v>
      </c>
      <c r="R566" s="118">
        <v>0</v>
      </c>
      <c r="S566" s="118">
        <f t="shared" si="80"/>
        <v>2739901.57</v>
      </c>
      <c r="T566" s="118">
        <f t="shared" si="72"/>
        <v>2431.361762356908</v>
      </c>
      <c r="U566" s="118">
        <f t="shared" si="81"/>
        <v>2942.4465347413256</v>
      </c>
      <c r="V566" s="183">
        <f t="shared" si="75"/>
        <v>511.08477238441765</v>
      </c>
      <c r="W566" s="183"/>
      <c r="X566" s="183"/>
      <c r="Y566" s="64">
        <f t="shared" si="76"/>
        <v>2942.4465347413256</v>
      </c>
      <c r="AA566" s="64">
        <f t="shared" si="77"/>
        <v>635</v>
      </c>
      <c r="AC566" s="64" t="s">
        <v>451</v>
      </c>
      <c r="AD566" s="64">
        <v>530</v>
      </c>
      <c r="AH566" s="64" t="e">
        <f t="shared" si="78"/>
        <v>#N/A</v>
      </c>
      <c r="AS566" s="64" t="e">
        <f t="shared" si="79"/>
        <v>#N/A</v>
      </c>
    </row>
    <row r="567" spans="1:45" s="64" customFormat="1" ht="36" customHeight="1" x14ac:dyDescent="0.9">
      <c r="A567" s="64">
        <v>1</v>
      </c>
      <c r="B567" s="92">
        <f>SUBTOTAL(103,$A$548:A567)</f>
        <v>20</v>
      </c>
      <c r="C567" s="91" t="s">
        <v>556</v>
      </c>
      <c r="D567" s="126" t="s">
        <v>315</v>
      </c>
      <c r="E567" s="126"/>
      <c r="F567" s="145" t="s">
        <v>319</v>
      </c>
      <c r="G567" s="126" t="s">
        <v>360</v>
      </c>
      <c r="H567" s="126">
        <v>4</v>
      </c>
      <c r="I567" s="117">
        <v>3904.9</v>
      </c>
      <c r="J567" s="117">
        <v>3572.3</v>
      </c>
      <c r="K567" s="117">
        <v>2529.9</v>
      </c>
      <c r="L567" s="127">
        <v>170</v>
      </c>
      <c r="M567" s="126" t="s">
        <v>271</v>
      </c>
      <c r="N567" s="126" t="s">
        <v>275</v>
      </c>
      <c r="O567" s="124" t="s">
        <v>1102</v>
      </c>
      <c r="P567" s="118">
        <v>4549323.9899999993</v>
      </c>
      <c r="Q567" s="118">
        <v>0</v>
      </c>
      <c r="R567" s="118">
        <v>0</v>
      </c>
      <c r="S567" s="118">
        <f t="shared" si="80"/>
        <v>4549323.9899999993</v>
      </c>
      <c r="T567" s="118">
        <f t="shared" si="72"/>
        <v>1165.0295756613484</v>
      </c>
      <c r="U567" s="118">
        <f t="shared" si="81"/>
        <v>1283.7532331173654</v>
      </c>
      <c r="V567" s="183">
        <f t="shared" si="75"/>
        <v>118.72365745601701</v>
      </c>
      <c r="W567" s="183"/>
      <c r="X567" s="183"/>
      <c r="Y567" s="64">
        <f t="shared" si="76"/>
        <v>1283.7532331173654</v>
      </c>
      <c r="AA567" s="64">
        <f t="shared" si="77"/>
        <v>960</v>
      </c>
      <c r="AC567" s="64" t="s">
        <v>452</v>
      </c>
      <c r="AD567" s="64">
        <v>396</v>
      </c>
      <c r="AH567" s="64" t="e">
        <f t="shared" si="78"/>
        <v>#N/A</v>
      </c>
      <c r="AS567" s="64" t="e">
        <f t="shared" si="79"/>
        <v>#N/A</v>
      </c>
    </row>
    <row r="568" spans="1:45" s="64" customFormat="1" ht="36" customHeight="1" x14ac:dyDescent="0.9">
      <c r="A568" s="64">
        <v>1</v>
      </c>
      <c r="B568" s="92">
        <f>SUBTOTAL(103,$A$548:A568)</f>
        <v>21</v>
      </c>
      <c r="C568" s="91" t="s">
        <v>557</v>
      </c>
      <c r="D568" s="126" t="s">
        <v>315</v>
      </c>
      <c r="E568" s="126"/>
      <c r="F568" s="145" t="s">
        <v>319</v>
      </c>
      <c r="G568" s="126" t="s">
        <v>360</v>
      </c>
      <c r="H568" s="126">
        <v>3</v>
      </c>
      <c r="I568" s="117">
        <v>3361</v>
      </c>
      <c r="J568" s="117">
        <v>2572.6</v>
      </c>
      <c r="K568" s="117">
        <v>1749.7</v>
      </c>
      <c r="L568" s="127">
        <v>133</v>
      </c>
      <c r="M568" s="126" t="s">
        <v>271</v>
      </c>
      <c r="N568" s="126" t="s">
        <v>275</v>
      </c>
      <c r="O568" s="124" t="s">
        <v>1102</v>
      </c>
      <c r="P568" s="118">
        <v>3661902.1799999997</v>
      </c>
      <c r="Q568" s="118">
        <v>0</v>
      </c>
      <c r="R568" s="118">
        <v>0</v>
      </c>
      <c r="S568" s="118">
        <f t="shared" si="80"/>
        <v>3661902.1799999997</v>
      </c>
      <c r="T568" s="118">
        <f t="shared" si="72"/>
        <v>1089.5275751264503</v>
      </c>
      <c r="U568" s="118">
        <f t="shared" si="81"/>
        <v>1204.0746801547159</v>
      </c>
      <c r="V568" s="183">
        <f t="shared" si="75"/>
        <v>114.54710502826561</v>
      </c>
      <c r="W568" s="183"/>
      <c r="X568" s="183"/>
      <c r="Y568" s="64">
        <f t="shared" si="76"/>
        <v>1204.0746801547159</v>
      </c>
      <c r="AA568" s="64">
        <f t="shared" si="77"/>
        <v>775</v>
      </c>
      <c r="AC568" s="64" t="s">
        <v>807</v>
      </c>
      <c r="AD568" s="64">
        <v>506</v>
      </c>
      <c r="AH568" s="64" t="e">
        <f t="shared" si="78"/>
        <v>#N/A</v>
      </c>
      <c r="AS568" s="64" t="e">
        <f t="shared" si="79"/>
        <v>#N/A</v>
      </c>
    </row>
    <row r="569" spans="1:45" s="64" customFormat="1" ht="36" customHeight="1" x14ac:dyDescent="0.9">
      <c r="A569" s="64">
        <v>1</v>
      </c>
      <c r="B569" s="92">
        <f>SUBTOTAL(103,$A$548:A569)</f>
        <v>22</v>
      </c>
      <c r="C569" s="91" t="s">
        <v>1431</v>
      </c>
      <c r="D569" s="126">
        <v>1965</v>
      </c>
      <c r="E569" s="126"/>
      <c r="F569" s="145" t="s">
        <v>273</v>
      </c>
      <c r="G569" s="126">
        <v>5</v>
      </c>
      <c r="H569" s="126">
        <v>4</v>
      </c>
      <c r="I569" s="117">
        <v>3647.4</v>
      </c>
      <c r="J569" s="117">
        <v>2512.3000000000002</v>
      </c>
      <c r="K569" s="117">
        <v>2436</v>
      </c>
      <c r="L569" s="127">
        <v>160</v>
      </c>
      <c r="M569" s="126" t="s">
        <v>271</v>
      </c>
      <c r="N569" s="126" t="s">
        <v>275</v>
      </c>
      <c r="O569" s="124" t="s">
        <v>1102</v>
      </c>
      <c r="P569" s="118">
        <v>5911583.5</v>
      </c>
      <c r="Q569" s="118">
        <v>0</v>
      </c>
      <c r="R569" s="118">
        <v>0</v>
      </c>
      <c r="S569" s="118">
        <f t="shared" si="80"/>
        <v>5911583.5</v>
      </c>
      <c r="T569" s="118">
        <f t="shared" si="72"/>
        <v>1620.7664363656302</v>
      </c>
      <c r="U569" s="118">
        <f t="shared" si="81"/>
        <v>1728.1446455009045</v>
      </c>
      <c r="V569" s="183">
        <f t="shared" si="75"/>
        <v>107.37820913527435</v>
      </c>
      <c r="W569" s="183"/>
      <c r="X569" s="183"/>
      <c r="Y569" s="64">
        <f t="shared" si="76"/>
        <v>1728.1446455009045</v>
      </c>
      <c r="AA569" s="64">
        <f t="shared" si="77"/>
        <v>1207.0999999999999</v>
      </c>
      <c r="AC569" s="64" t="s">
        <v>808</v>
      </c>
      <c r="AD569" s="64">
        <v>478</v>
      </c>
      <c r="AH569" s="64" t="e">
        <f t="shared" si="78"/>
        <v>#N/A</v>
      </c>
      <c r="AS569" s="64" t="e">
        <f t="shared" si="79"/>
        <v>#N/A</v>
      </c>
    </row>
    <row r="570" spans="1:45" s="64" customFormat="1" ht="36" customHeight="1" x14ac:dyDescent="0.9">
      <c r="A570" s="64">
        <v>1</v>
      </c>
      <c r="B570" s="92">
        <f>SUBTOTAL(103,$A$548:A570)</f>
        <v>23</v>
      </c>
      <c r="C570" s="91" t="s">
        <v>558</v>
      </c>
      <c r="D570" s="126">
        <v>1993</v>
      </c>
      <c r="E570" s="126"/>
      <c r="F570" s="145" t="s">
        <v>273</v>
      </c>
      <c r="G570" s="126">
        <v>9</v>
      </c>
      <c r="H570" s="126">
        <v>9</v>
      </c>
      <c r="I570" s="117">
        <v>14938</v>
      </c>
      <c r="J570" s="117">
        <v>12406</v>
      </c>
      <c r="K570" s="117">
        <v>5273.2</v>
      </c>
      <c r="L570" s="127">
        <v>330</v>
      </c>
      <c r="M570" s="126" t="s">
        <v>271</v>
      </c>
      <c r="N570" s="126" t="s">
        <v>275</v>
      </c>
      <c r="O570" s="124" t="s">
        <v>1118</v>
      </c>
      <c r="P570" s="118">
        <v>2179444.67</v>
      </c>
      <c r="Q570" s="118">
        <v>0</v>
      </c>
      <c r="R570" s="118">
        <v>0</v>
      </c>
      <c r="S570" s="118">
        <f t="shared" si="80"/>
        <v>2179444.67</v>
      </c>
      <c r="T570" s="118">
        <f t="shared" si="72"/>
        <v>145.89936202972285</v>
      </c>
      <c r="U570" s="118">
        <f>AR570</f>
        <v>147.77165617887266</v>
      </c>
      <c r="V570" s="183">
        <f t="shared" si="75"/>
        <v>1.8722941491498091</v>
      </c>
      <c r="W570" s="183"/>
      <c r="X570" s="183"/>
      <c r="Y570" s="64" t="e">
        <f t="shared" si="76"/>
        <v>#N/A</v>
      </c>
      <c r="AA570" s="64" t="e">
        <f t="shared" si="77"/>
        <v>#N/A</v>
      </c>
      <c r="AC570" s="64" t="s">
        <v>1106</v>
      </c>
      <c r="AD570" s="64">
        <v>627</v>
      </c>
      <c r="AH570" s="64" t="e">
        <f t="shared" si="78"/>
        <v>#N/A</v>
      </c>
      <c r="AR570" s="64">
        <f>AS570*2207413/I570</f>
        <v>147.77165617887266</v>
      </c>
      <c r="AS570" s="64">
        <f t="shared" si="79"/>
        <v>1</v>
      </c>
    </row>
    <row r="571" spans="1:45" s="64" customFormat="1" ht="36" customHeight="1" x14ac:dyDescent="0.9">
      <c r="A571" s="64">
        <v>1</v>
      </c>
      <c r="B571" s="92">
        <f>SUBTOTAL(103,$A$548:A571)</f>
        <v>24</v>
      </c>
      <c r="C571" s="91" t="s">
        <v>823</v>
      </c>
      <c r="D571" s="126">
        <v>1962</v>
      </c>
      <c r="E571" s="126"/>
      <c r="F571" s="145" t="s">
        <v>273</v>
      </c>
      <c r="G571" s="126">
        <v>4</v>
      </c>
      <c r="H571" s="126">
        <v>2</v>
      </c>
      <c r="I571" s="117">
        <v>1260.7</v>
      </c>
      <c r="J571" s="117">
        <v>979.2</v>
      </c>
      <c r="K571" s="117">
        <v>905.52</v>
      </c>
      <c r="L571" s="127">
        <v>83</v>
      </c>
      <c r="M571" s="126" t="s">
        <v>271</v>
      </c>
      <c r="N571" s="126" t="s">
        <v>305</v>
      </c>
      <c r="O571" s="124" t="s">
        <v>836</v>
      </c>
      <c r="P571" s="118">
        <v>3110127.71</v>
      </c>
      <c r="Q571" s="118">
        <v>0</v>
      </c>
      <c r="R571" s="118">
        <v>0</v>
      </c>
      <c r="S571" s="118">
        <f t="shared" si="80"/>
        <v>3110127.71</v>
      </c>
      <c r="T571" s="118">
        <f t="shared" si="72"/>
        <v>2466.9847782977708</v>
      </c>
      <c r="U571" s="118">
        <f>Y571</f>
        <v>2899.3892282065517</v>
      </c>
      <c r="V571" s="183">
        <f t="shared" si="75"/>
        <v>432.40444990878086</v>
      </c>
      <c r="W571" s="183"/>
      <c r="X571" s="183"/>
      <c r="Y571" s="64">
        <f t="shared" si="76"/>
        <v>2899.3892282065517</v>
      </c>
      <c r="AA571" s="64">
        <f t="shared" si="77"/>
        <v>700</v>
      </c>
      <c r="AC571" s="64" t="s">
        <v>812</v>
      </c>
      <c r="AD571" s="64">
        <v>1360</v>
      </c>
      <c r="AH571" s="64" t="e">
        <f t="shared" si="78"/>
        <v>#N/A</v>
      </c>
      <c r="AS571" s="64" t="e">
        <f t="shared" si="79"/>
        <v>#N/A</v>
      </c>
    </row>
    <row r="572" spans="1:45" s="64" customFormat="1" ht="36" customHeight="1" x14ac:dyDescent="0.9">
      <c r="A572" s="64">
        <v>1</v>
      </c>
      <c r="B572" s="92">
        <f>SUBTOTAL(103,$A$548:A572)</f>
        <v>25</v>
      </c>
      <c r="C572" s="91" t="s">
        <v>559</v>
      </c>
      <c r="D572" s="126" t="s">
        <v>318</v>
      </c>
      <c r="E572" s="126"/>
      <c r="F572" s="145" t="s">
        <v>273</v>
      </c>
      <c r="G572" s="126" t="s">
        <v>360</v>
      </c>
      <c r="H572" s="126">
        <v>1</v>
      </c>
      <c r="I572" s="117">
        <v>667.4</v>
      </c>
      <c r="J572" s="117">
        <v>486.4</v>
      </c>
      <c r="K572" s="117">
        <v>486.4</v>
      </c>
      <c r="L572" s="127">
        <v>29</v>
      </c>
      <c r="M572" s="126" t="s">
        <v>271</v>
      </c>
      <c r="N572" s="126" t="s">
        <v>275</v>
      </c>
      <c r="O572" s="124" t="s">
        <v>1413</v>
      </c>
      <c r="P572" s="118">
        <v>1126135.8999999999</v>
      </c>
      <c r="Q572" s="118">
        <v>0</v>
      </c>
      <c r="R572" s="118">
        <v>0</v>
      </c>
      <c r="S572" s="118">
        <f t="shared" si="80"/>
        <v>1126135.8999999999</v>
      </c>
      <c r="T572" s="118">
        <f t="shared" si="72"/>
        <v>1687.3477674557985</v>
      </c>
      <c r="U572" s="118">
        <f>T572</f>
        <v>1687.3477674557985</v>
      </c>
      <c r="V572" s="183">
        <f t="shared" si="75"/>
        <v>0</v>
      </c>
      <c r="W572" s="183"/>
      <c r="X572" s="183"/>
      <c r="Y572" s="64">
        <f t="shared" si="76"/>
        <v>1643.0596344021576</v>
      </c>
      <c r="AA572" s="64">
        <f t="shared" si="77"/>
        <v>210</v>
      </c>
      <c r="AC572" s="64" t="s">
        <v>813</v>
      </c>
      <c r="AD572" s="64">
        <v>649</v>
      </c>
      <c r="AH572" s="64" t="e">
        <f t="shared" si="78"/>
        <v>#N/A</v>
      </c>
      <c r="AS572" s="64" t="e">
        <f t="shared" si="79"/>
        <v>#N/A</v>
      </c>
    </row>
    <row r="573" spans="1:45" s="64" customFormat="1" ht="36" customHeight="1" x14ac:dyDescent="0.9">
      <c r="A573" s="64">
        <v>1</v>
      </c>
      <c r="B573" s="92">
        <f>SUBTOTAL(103,$A$548:A573)</f>
        <v>26</v>
      </c>
      <c r="C573" s="91" t="s">
        <v>560</v>
      </c>
      <c r="D573" s="126" t="s">
        <v>367</v>
      </c>
      <c r="E573" s="126"/>
      <c r="F573" s="145" t="s">
        <v>273</v>
      </c>
      <c r="G573" s="126" t="s">
        <v>316</v>
      </c>
      <c r="H573" s="126">
        <v>1</v>
      </c>
      <c r="I573" s="117">
        <v>1061.9000000000001</v>
      </c>
      <c r="J573" s="117">
        <v>977.4</v>
      </c>
      <c r="K573" s="117">
        <v>977.4</v>
      </c>
      <c r="L573" s="127">
        <v>25</v>
      </c>
      <c r="M573" s="126" t="s">
        <v>271</v>
      </c>
      <c r="N573" s="126" t="s">
        <v>275</v>
      </c>
      <c r="O573" s="124" t="s">
        <v>1413</v>
      </c>
      <c r="P573" s="118">
        <v>4057359.23</v>
      </c>
      <c r="Q573" s="118">
        <v>0</v>
      </c>
      <c r="R573" s="118">
        <v>0</v>
      </c>
      <c r="S573" s="118">
        <f t="shared" si="80"/>
        <v>4057359.23</v>
      </c>
      <c r="T573" s="118">
        <f t="shared" ref="T573:T636" si="82">P573/I573</f>
        <v>3820.848695734061</v>
      </c>
      <c r="U573" s="118">
        <f>AG573</f>
        <v>5960.5412473910383</v>
      </c>
      <c r="V573" s="183">
        <f t="shared" si="75"/>
        <v>2139.6925516569772</v>
      </c>
      <c r="W573" s="183"/>
      <c r="X573" s="183"/>
      <c r="Y573" s="64" t="e">
        <f t="shared" si="76"/>
        <v>#N/A</v>
      </c>
      <c r="AA573" s="64" t="e">
        <f t="shared" si="77"/>
        <v>#N/A</v>
      </c>
      <c r="AC573" s="64" t="s">
        <v>814</v>
      </c>
      <c r="AD573" s="64">
        <v>660</v>
      </c>
      <c r="AG573" s="64">
        <f>AH573*6191.24/J573</f>
        <v>5960.5412473910383</v>
      </c>
      <c r="AH573" s="64">
        <f t="shared" si="78"/>
        <v>940.98</v>
      </c>
      <c r="AS573" s="64" t="e">
        <f t="shared" si="79"/>
        <v>#N/A</v>
      </c>
    </row>
    <row r="574" spans="1:45" s="64" customFormat="1" ht="36" customHeight="1" x14ac:dyDescent="0.9">
      <c r="A574" s="64">
        <v>1</v>
      </c>
      <c r="B574" s="92">
        <f>SUBTOTAL(103,$A$548:A574)</f>
        <v>27</v>
      </c>
      <c r="C574" s="91" t="s">
        <v>561</v>
      </c>
      <c r="D574" s="126" t="s">
        <v>368</v>
      </c>
      <c r="E574" s="126"/>
      <c r="F574" s="145" t="s">
        <v>273</v>
      </c>
      <c r="G574" s="126" t="s">
        <v>360</v>
      </c>
      <c r="H574" s="126">
        <v>2</v>
      </c>
      <c r="I574" s="117">
        <v>1953.8</v>
      </c>
      <c r="J574" s="117">
        <v>1724.7</v>
      </c>
      <c r="K574" s="117">
        <v>1572.5</v>
      </c>
      <c r="L574" s="127">
        <v>51</v>
      </c>
      <c r="M574" s="126" t="s">
        <v>271</v>
      </c>
      <c r="N574" s="126" t="s">
        <v>275</v>
      </c>
      <c r="O574" s="124" t="s">
        <v>1697</v>
      </c>
      <c r="P574" s="118">
        <v>2760412.39</v>
      </c>
      <c r="Q574" s="118">
        <v>0</v>
      </c>
      <c r="R574" s="118">
        <v>0</v>
      </c>
      <c r="S574" s="118">
        <f t="shared" si="80"/>
        <v>2760412.39</v>
      </c>
      <c r="T574" s="118">
        <f t="shared" si="82"/>
        <v>1412.8428651857919</v>
      </c>
      <c r="U574" s="118">
        <f>Y574</f>
        <v>1496.6772443443547</v>
      </c>
      <c r="V574" s="183">
        <f t="shared" si="75"/>
        <v>83.834379158562797</v>
      </c>
      <c r="W574" s="183"/>
      <c r="X574" s="183"/>
      <c r="Y574" s="64">
        <f t="shared" si="76"/>
        <v>1496.6772443443547</v>
      </c>
      <c r="AA574" s="64">
        <f t="shared" si="77"/>
        <v>560</v>
      </c>
      <c r="AC574" s="64" t="s">
        <v>816</v>
      </c>
      <c r="AD574" s="64">
        <v>2047.5</v>
      </c>
      <c r="AH574" s="64" t="e">
        <f t="shared" si="78"/>
        <v>#N/A</v>
      </c>
      <c r="AS574" s="64" t="e">
        <f t="shared" si="79"/>
        <v>#N/A</v>
      </c>
    </row>
    <row r="575" spans="1:45" s="64" customFormat="1" ht="36" customHeight="1" x14ac:dyDescent="0.9">
      <c r="A575" s="64">
        <v>1</v>
      </c>
      <c r="B575" s="92">
        <f>SUBTOTAL(103,$A$548:A575)</f>
        <v>28</v>
      </c>
      <c r="C575" s="91" t="s">
        <v>825</v>
      </c>
      <c r="D575" s="126">
        <v>1987</v>
      </c>
      <c r="E575" s="126"/>
      <c r="F575" s="145" t="s">
        <v>319</v>
      </c>
      <c r="G575" s="126">
        <v>9</v>
      </c>
      <c r="H575" s="126">
        <v>5</v>
      </c>
      <c r="I575" s="117">
        <v>9798</v>
      </c>
      <c r="J575" s="117">
        <v>9687.5</v>
      </c>
      <c r="K575" s="117">
        <v>9248.6</v>
      </c>
      <c r="L575" s="127">
        <v>489</v>
      </c>
      <c r="M575" s="126" t="s">
        <v>271</v>
      </c>
      <c r="N575" s="126" t="s">
        <v>275</v>
      </c>
      <c r="O575" s="124" t="s">
        <v>1413</v>
      </c>
      <c r="P575" s="118">
        <v>5592560.8499999996</v>
      </c>
      <c r="Q575" s="118">
        <v>0</v>
      </c>
      <c r="R575" s="118">
        <v>0</v>
      </c>
      <c r="S575" s="118">
        <f t="shared" si="80"/>
        <v>5592560.8499999996</v>
      </c>
      <c r="T575" s="118">
        <f t="shared" si="82"/>
        <v>570.78596142069807</v>
      </c>
      <c r="U575" s="118">
        <f>Y575</f>
        <v>741.32718922229026</v>
      </c>
      <c r="V575" s="183">
        <f t="shared" si="75"/>
        <v>170.54122780159219</v>
      </c>
      <c r="W575" s="183"/>
      <c r="X575" s="183"/>
      <c r="Y575" s="64">
        <f t="shared" si="76"/>
        <v>741.32718922229026</v>
      </c>
      <c r="AA575" s="64">
        <f t="shared" si="77"/>
        <v>1391</v>
      </c>
      <c r="AC575" s="64" t="s">
        <v>1655</v>
      </c>
      <c r="AD575" s="64">
        <v>380</v>
      </c>
      <c r="AH575" s="64" t="e">
        <f t="shared" si="78"/>
        <v>#N/A</v>
      </c>
      <c r="AS575" s="64" t="e">
        <f t="shared" si="79"/>
        <v>#N/A</v>
      </c>
    </row>
    <row r="576" spans="1:45" s="64" customFormat="1" ht="36" customHeight="1" x14ac:dyDescent="0.9">
      <c r="A576" s="64">
        <v>1</v>
      </c>
      <c r="B576" s="92">
        <f>SUBTOTAL(103,$A$548:A576)</f>
        <v>29</v>
      </c>
      <c r="C576" s="91" t="s">
        <v>562</v>
      </c>
      <c r="D576" s="126" t="s">
        <v>314</v>
      </c>
      <c r="E576" s="126"/>
      <c r="F576" s="145" t="s">
        <v>273</v>
      </c>
      <c r="G576" s="126" t="s">
        <v>360</v>
      </c>
      <c r="H576" s="126">
        <v>4</v>
      </c>
      <c r="I576" s="117">
        <v>3951</v>
      </c>
      <c r="J576" s="117">
        <v>3662.3</v>
      </c>
      <c r="K576" s="117">
        <v>2413.8000000000002</v>
      </c>
      <c r="L576" s="127">
        <v>103</v>
      </c>
      <c r="M576" s="126" t="s">
        <v>271</v>
      </c>
      <c r="N576" s="126" t="s">
        <v>275</v>
      </c>
      <c r="O576" s="124" t="s">
        <v>1103</v>
      </c>
      <c r="P576" s="118">
        <v>4005106.45</v>
      </c>
      <c r="Q576" s="118">
        <v>0</v>
      </c>
      <c r="R576" s="118">
        <v>0</v>
      </c>
      <c r="S576" s="118">
        <f t="shared" si="80"/>
        <v>4005106.45</v>
      </c>
      <c r="T576" s="118">
        <f t="shared" si="82"/>
        <v>1013.6943685143002</v>
      </c>
      <c r="U576" s="118">
        <f>Y576</f>
        <v>1086.3881548974944</v>
      </c>
      <c r="V576" s="183">
        <f t="shared" si="75"/>
        <v>72.693786383194151</v>
      </c>
      <c r="W576" s="183"/>
      <c r="X576" s="183"/>
      <c r="Y576" s="64">
        <f t="shared" si="76"/>
        <v>1086.3881548974944</v>
      </c>
      <c r="AA576" s="64">
        <f t="shared" si="77"/>
        <v>822</v>
      </c>
      <c r="AC576" s="64" t="s">
        <v>628</v>
      </c>
      <c r="AD576" s="64">
        <v>981</v>
      </c>
      <c r="AH576" s="64" t="e">
        <f t="shared" si="78"/>
        <v>#N/A</v>
      </c>
      <c r="AS576" s="64" t="e">
        <f t="shared" si="79"/>
        <v>#N/A</v>
      </c>
    </row>
    <row r="577" spans="1:45" s="64" customFormat="1" ht="36" customHeight="1" x14ac:dyDescent="0.9">
      <c r="A577" s="64">
        <v>1</v>
      </c>
      <c r="B577" s="92">
        <f>SUBTOTAL(103,$A$548:A577)</f>
        <v>30</v>
      </c>
      <c r="C577" s="91" t="s">
        <v>563</v>
      </c>
      <c r="D577" s="126" t="s">
        <v>370</v>
      </c>
      <c r="E577" s="126"/>
      <c r="F577" s="145" t="s">
        <v>273</v>
      </c>
      <c r="G577" s="126" t="s">
        <v>360</v>
      </c>
      <c r="H577" s="126">
        <v>3</v>
      </c>
      <c r="I577" s="117">
        <v>2747.2</v>
      </c>
      <c r="J577" s="117">
        <v>2475.6</v>
      </c>
      <c r="K577" s="117">
        <v>2231</v>
      </c>
      <c r="L577" s="127">
        <v>93</v>
      </c>
      <c r="M577" s="126" t="s">
        <v>271</v>
      </c>
      <c r="N577" s="126" t="s">
        <v>275</v>
      </c>
      <c r="O577" s="124" t="s">
        <v>1103</v>
      </c>
      <c r="P577" s="118">
        <v>4412836.3</v>
      </c>
      <c r="Q577" s="118">
        <v>0</v>
      </c>
      <c r="R577" s="118">
        <v>0</v>
      </c>
      <c r="S577" s="118">
        <f t="shared" si="80"/>
        <v>4412836.3</v>
      </c>
      <c r="T577" s="118">
        <f t="shared" si="82"/>
        <v>1606.3032542224812</v>
      </c>
      <c r="U577" s="118">
        <f>Y577</f>
        <v>1705.5624417588817</v>
      </c>
      <c r="V577" s="183">
        <f t="shared" si="75"/>
        <v>99.259187536400532</v>
      </c>
      <c r="W577" s="183"/>
      <c r="X577" s="183"/>
      <c r="Y577" s="64">
        <f t="shared" si="76"/>
        <v>1705.5624417588817</v>
      </c>
      <c r="AA577" s="64">
        <f t="shared" si="77"/>
        <v>897.3</v>
      </c>
      <c r="AC577" s="64" t="s">
        <v>629</v>
      </c>
      <c r="AD577" s="64">
        <v>1692.5</v>
      </c>
      <c r="AH577" s="64" t="e">
        <f t="shared" si="78"/>
        <v>#N/A</v>
      </c>
      <c r="AS577" s="64" t="e">
        <f t="shared" si="79"/>
        <v>#N/A</v>
      </c>
    </row>
    <row r="578" spans="1:45" s="64" customFormat="1" ht="36" customHeight="1" x14ac:dyDescent="0.9">
      <c r="A578" s="64">
        <v>1</v>
      </c>
      <c r="B578" s="92">
        <f>SUBTOTAL(103,$A$548:A578)</f>
        <v>31</v>
      </c>
      <c r="C578" s="91" t="s">
        <v>564</v>
      </c>
      <c r="D578" s="126" t="s">
        <v>314</v>
      </c>
      <c r="E578" s="126"/>
      <c r="F578" s="145" t="s">
        <v>273</v>
      </c>
      <c r="G578" s="126" t="s">
        <v>360</v>
      </c>
      <c r="H578" s="126">
        <v>2</v>
      </c>
      <c r="I578" s="117">
        <v>2023.4</v>
      </c>
      <c r="J578" s="117">
        <v>1578.8</v>
      </c>
      <c r="K578" s="117">
        <v>1536.2</v>
      </c>
      <c r="L578" s="127">
        <v>65</v>
      </c>
      <c r="M578" s="126" t="s">
        <v>271</v>
      </c>
      <c r="N578" s="126" t="s">
        <v>275</v>
      </c>
      <c r="O578" s="124" t="s">
        <v>1413</v>
      </c>
      <c r="P578" s="118">
        <v>4448638.5999999996</v>
      </c>
      <c r="Q578" s="118">
        <v>0</v>
      </c>
      <c r="R578" s="118">
        <v>0</v>
      </c>
      <c r="S578" s="118">
        <f t="shared" si="80"/>
        <v>4448638.5999999996</v>
      </c>
      <c r="T578" s="118">
        <f t="shared" si="82"/>
        <v>2198.5957299594738</v>
      </c>
      <c r="U578" s="118">
        <f>AG578</f>
        <v>4106.7748226501144</v>
      </c>
      <c r="V578" s="183">
        <f t="shared" si="75"/>
        <v>1908.1790926906406</v>
      </c>
      <c r="W578" s="183"/>
      <c r="X578" s="183"/>
      <c r="Y578" s="64" t="e">
        <f t="shared" si="76"/>
        <v>#N/A</v>
      </c>
      <c r="AA578" s="64" t="e">
        <f t="shared" si="77"/>
        <v>#N/A</v>
      </c>
      <c r="AC578" s="64" t="s">
        <v>633</v>
      </c>
      <c r="AD578" s="64">
        <v>1812</v>
      </c>
      <c r="AG578" s="64">
        <f>AH578*6191.24/J578</f>
        <v>4106.7748226501144</v>
      </c>
      <c r="AH578" s="64">
        <f t="shared" si="78"/>
        <v>1047.25</v>
      </c>
      <c r="AS578" s="64" t="e">
        <f t="shared" si="79"/>
        <v>#N/A</v>
      </c>
    </row>
    <row r="579" spans="1:45" s="64" customFormat="1" ht="36" customHeight="1" x14ac:dyDescent="0.9">
      <c r="A579" s="64">
        <v>1</v>
      </c>
      <c r="B579" s="92">
        <f>SUBTOTAL(103,$A$548:A579)</f>
        <v>32</v>
      </c>
      <c r="C579" s="91" t="s">
        <v>1681</v>
      </c>
      <c r="D579" s="126" t="s">
        <v>371</v>
      </c>
      <c r="E579" s="126"/>
      <c r="F579" s="145" t="s">
        <v>273</v>
      </c>
      <c r="G579" s="126" t="s">
        <v>311</v>
      </c>
      <c r="H579" s="126">
        <v>3</v>
      </c>
      <c r="I579" s="117">
        <v>506.1</v>
      </c>
      <c r="J579" s="117">
        <v>290.3</v>
      </c>
      <c r="K579" s="117">
        <v>290.3</v>
      </c>
      <c r="L579" s="127">
        <v>10</v>
      </c>
      <c r="M579" s="126" t="s">
        <v>271</v>
      </c>
      <c r="N579" s="126" t="s">
        <v>275</v>
      </c>
      <c r="O579" s="124" t="s">
        <v>1698</v>
      </c>
      <c r="P579" s="118">
        <v>2397304.5699999998</v>
      </c>
      <c r="Q579" s="118">
        <v>0</v>
      </c>
      <c r="R579" s="118">
        <v>0</v>
      </c>
      <c r="S579" s="118">
        <f t="shared" si="80"/>
        <v>2397304.5699999998</v>
      </c>
      <c r="T579" s="118">
        <f t="shared" si="82"/>
        <v>4736.8199367713887</v>
      </c>
      <c r="U579" s="118">
        <f>Y579</f>
        <v>5004.0960284528746</v>
      </c>
      <c r="V579" s="183">
        <f t="shared" si="75"/>
        <v>267.27609168148592</v>
      </c>
      <c r="W579" s="183"/>
      <c r="X579" s="183"/>
      <c r="Y579" s="64">
        <f t="shared" si="76"/>
        <v>5004.0960284528746</v>
      </c>
      <c r="AA579" s="64">
        <f t="shared" si="77"/>
        <v>485</v>
      </c>
      <c r="AC579" s="64" t="s">
        <v>651</v>
      </c>
      <c r="AD579" s="64">
        <v>1821.9</v>
      </c>
      <c r="AH579" s="64" t="e">
        <f t="shared" si="78"/>
        <v>#N/A</v>
      </c>
      <c r="AS579" s="64" t="e">
        <f t="shared" si="79"/>
        <v>#N/A</v>
      </c>
    </row>
    <row r="580" spans="1:45" s="64" customFormat="1" ht="36" customHeight="1" x14ac:dyDescent="0.9">
      <c r="A580" s="64">
        <v>1</v>
      </c>
      <c r="B580" s="92">
        <f>SUBTOTAL(103,$A$548:A580)</f>
        <v>33</v>
      </c>
      <c r="C580" s="91" t="s">
        <v>565</v>
      </c>
      <c r="D580" s="126" t="s">
        <v>372</v>
      </c>
      <c r="E580" s="126"/>
      <c r="F580" s="145" t="s">
        <v>373</v>
      </c>
      <c r="G580" s="126" t="s">
        <v>311</v>
      </c>
      <c r="H580" s="126">
        <v>2</v>
      </c>
      <c r="I580" s="117">
        <v>583.5</v>
      </c>
      <c r="J580" s="117">
        <v>558.1</v>
      </c>
      <c r="K580" s="117">
        <v>416.1</v>
      </c>
      <c r="L580" s="127">
        <v>35</v>
      </c>
      <c r="M580" s="126" t="s">
        <v>271</v>
      </c>
      <c r="N580" s="126" t="s">
        <v>275</v>
      </c>
      <c r="O580" s="124" t="s">
        <v>1699</v>
      </c>
      <c r="P580" s="118">
        <v>2564514.5199999996</v>
      </c>
      <c r="Q580" s="118">
        <v>0</v>
      </c>
      <c r="R580" s="118">
        <v>0</v>
      </c>
      <c r="S580" s="118">
        <f t="shared" si="80"/>
        <v>2564514.5199999996</v>
      </c>
      <c r="T580" s="118">
        <f t="shared" si="82"/>
        <v>4395.0548757497854</v>
      </c>
      <c r="U580" s="118">
        <f>Y580</f>
        <v>5423.1547557840622</v>
      </c>
      <c r="V580" s="183">
        <f t="shared" si="75"/>
        <v>1028.0998800342768</v>
      </c>
      <c r="W580" s="183"/>
      <c r="X580" s="183"/>
      <c r="Y580" s="64">
        <f t="shared" si="76"/>
        <v>5423.1547557840622</v>
      </c>
      <c r="AA580" s="64">
        <f t="shared" si="77"/>
        <v>606</v>
      </c>
      <c r="AC580" s="64" t="s">
        <v>655</v>
      </c>
      <c r="AD580" s="64">
        <v>880</v>
      </c>
      <c r="AH580" s="64" t="e">
        <f t="shared" si="78"/>
        <v>#N/A</v>
      </c>
      <c r="AS580" s="64" t="e">
        <f t="shared" si="79"/>
        <v>#N/A</v>
      </c>
    </row>
    <row r="581" spans="1:45" s="64" customFormat="1" ht="36" customHeight="1" x14ac:dyDescent="0.9">
      <c r="A581" s="64">
        <v>1</v>
      </c>
      <c r="B581" s="92">
        <f>SUBTOTAL(103,$A$548:A581)</f>
        <v>34</v>
      </c>
      <c r="C581" s="91" t="s">
        <v>1117</v>
      </c>
      <c r="D581" s="126">
        <v>1989</v>
      </c>
      <c r="E581" s="126"/>
      <c r="F581" s="145" t="s">
        <v>319</v>
      </c>
      <c r="G581" s="126">
        <v>9</v>
      </c>
      <c r="H581" s="126">
        <v>4</v>
      </c>
      <c r="I581" s="117">
        <v>8889.1</v>
      </c>
      <c r="J581" s="117">
        <v>7439.2</v>
      </c>
      <c r="K581" s="117">
        <v>7373</v>
      </c>
      <c r="L581" s="127">
        <v>357</v>
      </c>
      <c r="M581" s="126" t="s">
        <v>271</v>
      </c>
      <c r="N581" s="126" t="s">
        <v>275</v>
      </c>
      <c r="O581" s="124" t="s">
        <v>1118</v>
      </c>
      <c r="P581" s="118">
        <v>7813143.0999999996</v>
      </c>
      <c r="Q581" s="118">
        <v>0</v>
      </c>
      <c r="R581" s="118">
        <v>0</v>
      </c>
      <c r="S581" s="118">
        <f t="shared" si="80"/>
        <v>7813143.0999999996</v>
      </c>
      <c r="T581" s="118">
        <f t="shared" si="82"/>
        <v>878.95772350406673</v>
      </c>
      <c r="U581" s="118">
        <f>AR581</f>
        <v>993.31225883385264</v>
      </c>
      <c r="V581" s="183">
        <f t="shared" si="75"/>
        <v>114.3545353297859</v>
      </c>
      <c r="W581" s="183"/>
      <c r="X581" s="183"/>
      <c r="Y581" s="64" t="e">
        <f t="shared" si="76"/>
        <v>#N/A</v>
      </c>
      <c r="AA581" s="64" t="e">
        <f t="shared" si="77"/>
        <v>#N/A</v>
      </c>
      <c r="AC581" s="64" t="s">
        <v>654</v>
      </c>
      <c r="AD581" s="64">
        <v>825</v>
      </c>
      <c r="AH581" s="64" t="e">
        <f t="shared" si="78"/>
        <v>#N/A</v>
      </c>
      <c r="AR581" s="64">
        <f>AS581*2207413/I581</f>
        <v>993.31225883385264</v>
      </c>
      <c r="AS581" s="64">
        <f t="shared" si="79"/>
        <v>4</v>
      </c>
    </row>
    <row r="582" spans="1:45" s="64" customFormat="1" ht="36" customHeight="1" x14ac:dyDescent="0.9">
      <c r="A582" s="64">
        <v>1</v>
      </c>
      <c r="B582" s="92">
        <f>SUBTOTAL(103,$A$548:A582)</f>
        <v>35</v>
      </c>
      <c r="C582" s="91" t="s">
        <v>566</v>
      </c>
      <c r="D582" s="126">
        <v>1973</v>
      </c>
      <c r="E582" s="126"/>
      <c r="F582" s="145" t="s">
        <v>319</v>
      </c>
      <c r="G582" s="126">
        <v>9</v>
      </c>
      <c r="H582" s="126">
        <v>1</v>
      </c>
      <c r="I582" s="117">
        <v>1914.68</v>
      </c>
      <c r="J582" s="117">
        <v>1914.68</v>
      </c>
      <c r="K582" s="117">
        <v>1914.68</v>
      </c>
      <c r="L582" s="127">
        <v>130</v>
      </c>
      <c r="M582" s="126" t="s">
        <v>271</v>
      </c>
      <c r="N582" s="126" t="s">
        <v>275</v>
      </c>
      <c r="O582" s="124" t="s">
        <v>1415</v>
      </c>
      <c r="P582" s="118">
        <v>2129444.67</v>
      </c>
      <c r="Q582" s="118">
        <v>0</v>
      </c>
      <c r="R582" s="118">
        <v>0</v>
      </c>
      <c r="S582" s="118">
        <f t="shared" si="80"/>
        <v>2129444.67</v>
      </c>
      <c r="T582" s="118">
        <f t="shared" si="82"/>
        <v>1112.1673961184113</v>
      </c>
      <c r="U582" s="118">
        <f>AR582</f>
        <v>1152.8887333653665</v>
      </c>
      <c r="V582" s="183">
        <f t="shared" si="75"/>
        <v>40.721337246955272</v>
      </c>
      <c r="W582" s="183"/>
      <c r="X582" s="183"/>
      <c r="Y582" s="64" t="e">
        <f t="shared" si="76"/>
        <v>#N/A</v>
      </c>
      <c r="AA582" s="64" t="e">
        <f t="shared" si="77"/>
        <v>#N/A</v>
      </c>
      <c r="AC582" s="64" t="s">
        <v>660</v>
      </c>
      <c r="AD582" s="64">
        <v>846.6</v>
      </c>
      <c r="AH582" s="64" t="e">
        <f t="shared" si="78"/>
        <v>#N/A</v>
      </c>
      <c r="AR582" s="64">
        <f>AS582*2207413/I582</f>
        <v>1152.8887333653665</v>
      </c>
      <c r="AS582" s="64">
        <f t="shared" si="79"/>
        <v>1</v>
      </c>
    </row>
    <row r="583" spans="1:45" s="64" customFormat="1" ht="36" customHeight="1" x14ac:dyDescent="0.9">
      <c r="A583" s="64">
        <v>1</v>
      </c>
      <c r="B583" s="92">
        <f>SUBTOTAL(103,$A$548:A583)</f>
        <v>36</v>
      </c>
      <c r="C583" s="91" t="s">
        <v>567</v>
      </c>
      <c r="D583" s="126" t="s">
        <v>318</v>
      </c>
      <c r="E583" s="126"/>
      <c r="F583" s="145" t="s">
        <v>273</v>
      </c>
      <c r="G583" s="126" t="s">
        <v>320</v>
      </c>
      <c r="H583" s="126">
        <v>4</v>
      </c>
      <c r="I583" s="117">
        <v>2853</v>
      </c>
      <c r="J583" s="117">
        <v>1941.5</v>
      </c>
      <c r="K583" s="117">
        <v>1882.5</v>
      </c>
      <c r="L583" s="127">
        <v>96</v>
      </c>
      <c r="M583" s="126" t="s">
        <v>271</v>
      </c>
      <c r="N583" s="126" t="s">
        <v>275</v>
      </c>
      <c r="O583" s="124" t="s">
        <v>1413</v>
      </c>
      <c r="P583" s="118">
        <v>5610855.6899999995</v>
      </c>
      <c r="Q583" s="118">
        <v>0</v>
      </c>
      <c r="R583" s="118">
        <v>0</v>
      </c>
      <c r="S583" s="118">
        <f t="shared" si="80"/>
        <v>5610855.6899999995</v>
      </c>
      <c r="T583" s="118">
        <f t="shared" si="82"/>
        <v>1966.6511356466874</v>
      </c>
      <c r="U583" s="118">
        <f t="shared" ref="U583:U603" si="83">Y583</f>
        <v>2123.1293375394321</v>
      </c>
      <c r="V583" s="183">
        <f t="shared" si="75"/>
        <v>156.47820189274466</v>
      </c>
      <c r="W583" s="183"/>
      <c r="X583" s="183"/>
      <c r="Y583" s="64">
        <f t="shared" si="76"/>
        <v>2123.1293375394321</v>
      </c>
      <c r="AA583" s="64">
        <f t="shared" si="77"/>
        <v>1160</v>
      </c>
      <c r="AC583" s="64" t="s">
        <v>1122</v>
      </c>
      <c r="AD583" s="64">
        <v>857.4</v>
      </c>
      <c r="AH583" s="64" t="e">
        <f t="shared" si="78"/>
        <v>#N/A</v>
      </c>
      <c r="AS583" s="64" t="e">
        <f t="shared" si="79"/>
        <v>#N/A</v>
      </c>
    </row>
    <row r="584" spans="1:45" s="64" customFormat="1" ht="36" customHeight="1" x14ac:dyDescent="0.9">
      <c r="A584" s="64">
        <v>1</v>
      </c>
      <c r="B584" s="92">
        <f>SUBTOTAL(103,$A$548:A584)</f>
        <v>37</v>
      </c>
      <c r="C584" s="91" t="s">
        <v>568</v>
      </c>
      <c r="D584" s="126">
        <v>1985</v>
      </c>
      <c r="E584" s="126"/>
      <c r="F584" s="145" t="s">
        <v>319</v>
      </c>
      <c r="G584" s="126">
        <v>2</v>
      </c>
      <c r="H584" s="126">
        <v>2</v>
      </c>
      <c r="I584" s="117">
        <v>626.1</v>
      </c>
      <c r="J584" s="117">
        <v>586.4</v>
      </c>
      <c r="K584" s="117">
        <v>348.2</v>
      </c>
      <c r="L584" s="127">
        <v>43</v>
      </c>
      <c r="M584" s="126" t="s">
        <v>271</v>
      </c>
      <c r="N584" s="126" t="s">
        <v>275</v>
      </c>
      <c r="O584" s="124" t="s">
        <v>1413</v>
      </c>
      <c r="P584" s="118">
        <v>2171781.17</v>
      </c>
      <c r="Q584" s="118">
        <v>0</v>
      </c>
      <c r="R584" s="118">
        <v>0</v>
      </c>
      <c r="S584" s="118">
        <f t="shared" si="80"/>
        <v>2171781.17</v>
      </c>
      <c r="T584" s="118">
        <f t="shared" si="82"/>
        <v>3468.7448810094234</v>
      </c>
      <c r="U584" s="118">
        <f t="shared" si="83"/>
        <v>3607.9710589362721</v>
      </c>
      <c r="V584" s="183">
        <f t="shared" si="75"/>
        <v>139.22617792684878</v>
      </c>
      <c r="W584" s="183"/>
      <c r="X584" s="183"/>
      <c r="Y584" s="64">
        <f t="shared" si="76"/>
        <v>3607.9710589362721</v>
      </c>
      <c r="AA584" s="64">
        <f t="shared" si="77"/>
        <v>432.6</v>
      </c>
      <c r="AC584" s="64" t="s">
        <v>658</v>
      </c>
      <c r="AD584" s="64">
        <v>274.7</v>
      </c>
      <c r="AH584" s="64" t="e">
        <f t="shared" si="78"/>
        <v>#N/A</v>
      </c>
      <c r="AS584" s="64" t="e">
        <f t="shared" si="79"/>
        <v>#N/A</v>
      </c>
    </row>
    <row r="585" spans="1:45" s="64" customFormat="1" ht="36" customHeight="1" x14ac:dyDescent="0.9">
      <c r="A585" s="64">
        <v>1</v>
      </c>
      <c r="B585" s="92">
        <f>SUBTOTAL(103,$A$548:A585)</f>
        <v>38</v>
      </c>
      <c r="C585" s="91" t="s">
        <v>569</v>
      </c>
      <c r="D585" s="126" t="s">
        <v>310</v>
      </c>
      <c r="E585" s="126"/>
      <c r="F585" s="145" t="s">
        <v>273</v>
      </c>
      <c r="G585" s="126" t="s">
        <v>311</v>
      </c>
      <c r="H585" s="126">
        <v>1</v>
      </c>
      <c r="I585" s="117">
        <v>399.4</v>
      </c>
      <c r="J585" s="117">
        <v>354.1</v>
      </c>
      <c r="K585" s="117">
        <v>172.1</v>
      </c>
      <c r="L585" s="127">
        <v>23</v>
      </c>
      <c r="M585" s="126" t="s">
        <v>271</v>
      </c>
      <c r="N585" s="126" t="s">
        <v>275</v>
      </c>
      <c r="O585" s="124" t="s">
        <v>1700</v>
      </c>
      <c r="P585" s="118">
        <v>763048.75</v>
      </c>
      <c r="Q585" s="118">
        <v>0</v>
      </c>
      <c r="R585" s="118">
        <v>0</v>
      </c>
      <c r="S585" s="118">
        <f t="shared" si="80"/>
        <v>763048.75</v>
      </c>
      <c r="T585" s="118">
        <f t="shared" si="82"/>
        <v>1910.4876064096145</v>
      </c>
      <c r="U585" s="118">
        <f t="shared" si="83"/>
        <v>2429.1698547821734</v>
      </c>
      <c r="V585" s="183">
        <f t="shared" si="75"/>
        <v>518.68224837255889</v>
      </c>
      <c r="W585" s="183"/>
      <c r="X585" s="183"/>
      <c r="Y585" s="64">
        <f t="shared" si="76"/>
        <v>2429.1698547821734</v>
      </c>
      <c r="AA585" s="64">
        <f t="shared" si="77"/>
        <v>185.8</v>
      </c>
      <c r="AC585" s="64" t="s">
        <v>673</v>
      </c>
      <c r="AD585" s="64">
        <v>830</v>
      </c>
      <c r="AH585" s="64" t="e">
        <f t="shared" si="78"/>
        <v>#N/A</v>
      </c>
      <c r="AS585" s="64" t="e">
        <f t="shared" si="79"/>
        <v>#N/A</v>
      </c>
    </row>
    <row r="586" spans="1:45" s="64" customFormat="1" ht="36" customHeight="1" x14ac:dyDescent="0.9">
      <c r="A586" s="64">
        <v>1</v>
      </c>
      <c r="B586" s="92">
        <f>SUBTOTAL(103,$A$548:A586)</f>
        <v>39</v>
      </c>
      <c r="C586" s="91" t="s">
        <v>570</v>
      </c>
      <c r="D586" s="126">
        <v>1977</v>
      </c>
      <c r="E586" s="126"/>
      <c r="F586" s="145" t="s">
        <v>273</v>
      </c>
      <c r="G586" s="126">
        <v>2</v>
      </c>
      <c r="H586" s="126">
        <v>2</v>
      </c>
      <c r="I586" s="117">
        <v>814.4</v>
      </c>
      <c r="J586" s="117">
        <v>741</v>
      </c>
      <c r="K586" s="117">
        <v>629.70000000000005</v>
      </c>
      <c r="L586" s="127">
        <v>44</v>
      </c>
      <c r="M586" s="126" t="s">
        <v>271</v>
      </c>
      <c r="N586" s="126" t="s">
        <v>275</v>
      </c>
      <c r="O586" s="124" t="s">
        <v>1689</v>
      </c>
      <c r="P586" s="118">
        <v>2794940.58</v>
      </c>
      <c r="Q586" s="118">
        <v>0</v>
      </c>
      <c r="R586" s="118">
        <v>0</v>
      </c>
      <c r="S586" s="118">
        <f t="shared" si="80"/>
        <v>2794940.58</v>
      </c>
      <c r="T586" s="118">
        <f t="shared" si="82"/>
        <v>3431.9014980353636</v>
      </c>
      <c r="U586" s="118">
        <f t="shared" si="83"/>
        <v>4116.3993123772107</v>
      </c>
      <c r="V586" s="183">
        <f t="shared" si="75"/>
        <v>684.49781434184706</v>
      </c>
      <c r="W586" s="183"/>
      <c r="X586" s="183"/>
      <c r="Y586" s="64">
        <f t="shared" si="76"/>
        <v>4116.3993123772107</v>
      </c>
      <c r="AA586" s="64">
        <f t="shared" si="77"/>
        <v>642</v>
      </c>
      <c r="AC586" s="64" t="s">
        <v>676</v>
      </c>
      <c r="AD586" s="64">
        <v>883</v>
      </c>
      <c r="AH586" s="64" t="e">
        <f t="shared" si="78"/>
        <v>#N/A</v>
      </c>
      <c r="AS586" s="64" t="e">
        <f t="shared" si="79"/>
        <v>#N/A</v>
      </c>
    </row>
    <row r="587" spans="1:45" s="64" customFormat="1" ht="36" customHeight="1" x14ac:dyDescent="0.9">
      <c r="A587" s="64">
        <v>1</v>
      </c>
      <c r="B587" s="92">
        <f>SUBTOTAL(103,$A$548:A587)</f>
        <v>40</v>
      </c>
      <c r="C587" s="91" t="s">
        <v>824</v>
      </c>
      <c r="D587" s="126">
        <v>1963</v>
      </c>
      <c r="E587" s="126"/>
      <c r="F587" s="145" t="s">
        <v>273</v>
      </c>
      <c r="G587" s="126">
        <v>2</v>
      </c>
      <c r="H587" s="126">
        <v>1</v>
      </c>
      <c r="I587" s="117">
        <v>316.5</v>
      </c>
      <c r="J587" s="117">
        <v>207.1</v>
      </c>
      <c r="K587" s="117">
        <v>131.4</v>
      </c>
      <c r="L587" s="127">
        <v>24</v>
      </c>
      <c r="M587" s="126" t="s">
        <v>271</v>
      </c>
      <c r="N587" s="126" t="s">
        <v>275</v>
      </c>
      <c r="O587" s="124" t="s">
        <v>1700</v>
      </c>
      <c r="P587" s="118">
        <v>1584967.92</v>
      </c>
      <c r="Q587" s="118">
        <v>0</v>
      </c>
      <c r="R587" s="118">
        <v>0</v>
      </c>
      <c r="S587" s="118">
        <f t="shared" si="80"/>
        <v>1584967.92</v>
      </c>
      <c r="T587" s="118">
        <f t="shared" si="82"/>
        <v>5007.7975355450235</v>
      </c>
      <c r="U587" s="118">
        <f>T587</f>
        <v>5007.7975355450235</v>
      </c>
      <c r="V587" s="183">
        <f t="shared" si="75"/>
        <v>0</v>
      </c>
      <c r="W587" s="183"/>
      <c r="X587" s="183"/>
      <c r="Y587" s="64">
        <f t="shared" si="76"/>
        <v>4949.5734597156397</v>
      </c>
      <c r="AA587" s="64">
        <f t="shared" si="77"/>
        <v>300</v>
      </c>
      <c r="AC587" s="64" t="s">
        <v>697</v>
      </c>
      <c r="AD587" s="64">
        <v>1203</v>
      </c>
      <c r="AH587" s="64" t="e">
        <f t="shared" si="78"/>
        <v>#N/A</v>
      </c>
      <c r="AS587" s="64" t="e">
        <f t="shared" si="79"/>
        <v>#N/A</v>
      </c>
    </row>
    <row r="588" spans="1:45" s="64" customFormat="1" ht="36" customHeight="1" x14ac:dyDescent="0.9">
      <c r="A588" s="64">
        <v>1</v>
      </c>
      <c r="B588" s="92">
        <f>SUBTOTAL(103,$A$548:A588)</f>
        <v>41</v>
      </c>
      <c r="C588" s="91" t="s">
        <v>1666</v>
      </c>
      <c r="D588" s="126">
        <v>1985</v>
      </c>
      <c r="E588" s="126"/>
      <c r="F588" s="145" t="s">
        <v>273</v>
      </c>
      <c r="G588" s="126">
        <v>7</v>
      </c>
      <c r="H588" s="126">
        <v>6</v>
      </c>
      <c r="I588" s="117">
        <v>11373.5</v>
      </c>
      <c r="J588" s="117">
        <v>9429.1</v>
      </c>
      <c r="K588" s="117">
        <v>9031.2999999999993</v>
      </c>
      <c r="L588" s="127">
        <v>442</v>
      </c>
      <c r="M588" s="126" t="s">
        <v>271</v>
      </c>
      <c r="N588" s="126" t="s">
        <v>275</v>
      </c>
      <c r="O588" s="124" t="s">
        <v>1414</v>
      </c>
      <c r="P588" s="118">
        <v>9602513.2699999996</v>
      </c>
      <c r="Q588" s="118">
        <v>0</v>
      </c>
      <c r="R588" s="118">
        <v>0</v>
      </c>
      <c r="S588" s="118">
        <f t="shared" si="80"/>
        <v>9602513.2699999996</v>
      </c>
      <c r="T588" s="118">
        <f t="shared" si="82"/>
        <v>844.28832549347158</v>
      </c>
      <c r="U588" s="118">
        <f t="shared" si="83"/>
        <v>1055.9757330637008</v>
      </c>
      <c r="V588" s="183">
        <f t="shared" si="75"/>
        <v>211.6874075702292</v>
      </c>
      <c r="W588" s="183"/>
      <c r="X588" s="183"/>
      <c r="Y588" s="64">
        <f t="shared" si="76"/>
        <v>1055.9757330637008</v>
      </c>
      <c r="AA588" s="64">
        <f t="shared" si="77"/>
        <v>2300</v>
      </c>
      <c r="AC588" s="64" t="s">
        <v>704</v>
      </c>
      <c r="AD588" s="64">
        <v>628</v>
      </c>
      <c r="AH588" s="64" t="e">
        <f t="shared" si="78"/>
        <v>#N/A</v>
      </c>
      <c r="AS588" s="64" t="e">
        <f t="shared" si="79"/>
        <v>#N/A</v>
      </c>
    </row>
    <row r="589" spans="1:45" s="64" customFormat="1" ht="36" customHeight="1" x14ac:dyDescent="0.9">
      <c r="A589" s="64">
        <v>1</v>
      </c>
      <c r="B589" s="92">
        <f>SUBTOTAL(103,$A$548:A589)</f>
        <v>42</v>
      </c>
      <c r="C589" s="91" t="s">
        <v>571</v>
      </c>
      <c r="D589" s="126" t="s">
        <v>374</v>
      </c>
      <c r="E589" s="126"/>
      <c r="F589" s="145" t="s">
        <v>273</v>
      </c>
      <c r="G589" s="126" t="s">
        <v>366</v>
      </c>
      <c r="H589" s="126">
        <v>3</v>
      </c>
      <c r="I589" s="117">
        <v>6810.7</v>
      </c>
      <c r="J589" s="117">
        <v>6392</v>
      </c>
      <c r="K589" s="117">
        <v>6392</v>
      </c>
      <c r="L589" s="127">
        <v>287</v>
      </c>
      <c r="M589" s="126" t="s">
        <v>271</v>
      </c>
      <c r="N589" s="126" t="s">
        <v>275</v>
      </c>
      <c r="O589" s="124" t="s">
        <v>1697</v>
      </c>
      <c r="P589" s="118">
        <v>5877399.3300000001</v>
      </c>
      <c r="Q589" s="118">
        <v>0</v>
      </c>
      <c r="R589" s="118">
        <v>0</v>
      </c>
      <c r="S589" s="118">
        <f t="shared" si="80"/>
        <v>5877399.3300000001</v>
      </c>
      <c r="T589" s="118">
        <f t="shared" si="82"/>
        <v>862.96552924075354</v>
      </c>
      <c r="U589" s="118">
        <f t="shared" si="83"/>
        <v>920.04639758027815</v>
      </c>
      <c r="V589" s="183">
        <f t="shared" si="75"/>
        <v>57.080868339524613</v>
      </c>
      <c r="W589" s="183"/>
      <c r="X589" s="183"/>
      <c r="Y589" s="64">
        <f t="shared" si="76"/>
        <v>920.04639758027815</v>
      </c>
      <c r="AA589" s="64">
        <f t="shared" si="77"/>
        <v>1200</v>
      </c>
      <c r="AC589" s="64" t="s">
        <v>696</v>
      </c>
      <c r="AD589" s="64">
        <v>393</v>
      </c>
      <c r="AH589" s="64" t="e">
        <f t="shared" si="78"/>
        <v>#N/A</v>
      </c>
      <c r="AS589" s="64" t="e">
        <f t="shared" si="79"/>
        <v>#N/A</v>
      </c>
    </row>
    <row r="590" spans="1:45" s="64" customFormat="1" ht="36" customHeight="1" x14ac:dyDescent="0.9">
      <c r="A590" s="64">
        <v>1</v>
      </c>
      <c r="B590" s="92">
        <f>SUBTOTAL(103,$A$548:A590)</f>
        <v>43</v>
      </c>
      <c r="C590" s="91" t="s">
        <v>572</v>
      </c>
      <c r="D590" s="126">
        <v>1960</v>
      </c>
      <c r="E590" s="126"/>
      <c r="F590" s="145" t="s">
        <v>273</v>
      </c>
      <c r="G590" s="126">
        <v>2</v>
      </c>
      <c r="H590" s="126">
        <v>2</v>
      </c>
      <c r="I590" s="117">
        <v>614.9</v>
      </c>
      <c r="J590" s="117">
        <v>438</v>
      </c>
      <c r="K590" s="117">
        <v>438</v>
      </c>
      <c r="L590" s="127">
        <v>32</v>
      </c>
      <c r="M590" s="126" t="s">
        <v>271</v>
      </c>
      <c r="N590" s="126" t="s">
        <v>1701</v>
      </c>
      <c r="O590" s="124" t="s">
        <v>1353</v>
      </c>
      <c r="P590" s="118">
        <v>2102735.67</v>
      </c>
      <c r="Q590" s="118">
        <v>0</v>
      </c>
      <c r="R590" s="118">
        <v>0</v>
      </c>
      <c r="S590" s="118">
        <f t="shared" si="80"/>
        <v>2102735.67</v>
      </c>
      <c r="T590" s="118">
        <f t="shared" si="82"/>
        <v>3419.6384290128476</v>
      </c>
      <c r="U590" s="118">
        <f t="shared" si="83"/>
        <v>4101.6903561554727</v>
      </c>
      <c r="V590" s="183">
        <f t="shared" si="75"/>
        <v>682.05192714262512</v>
      </c>
      <c r="W590" s="183"/>
      <c r="X590" s="183"/>
      <c r="Y590" s="64">
        <f t="shared" si="76"/>
        <v>4101.6903561554727</v>
      </c>
      <c r="AA590" s="64">
        <f t="shared" si="77"/>
        <v>483</v>
      </c>
      <c r="AC590" s="64" t="s">
        <v>711</v>
      </c>
      <c r="AD590" s="64">
        <v>674.9</v>
      </c>
      <c r="AH590" s="64" t="e">
        <f t="shared" si="78"/>
        <v>#N/A</v>
      </c>
      <c r="AS590" s="64" t="e">
        <f t="shared" si="79"/>
        <v>#N/A</v>
      </c>
    </row>
    <row r="591" spans="1:45" s="64" customFormat="1" ht="36" customHeight="1" x14ac:dyDescent="0.9">
      <c r="A591" s="64">
        <v>1</v>
      </c>
      <c r="B591" s="92">
        <f>SUBTOTAL(103,$A$548:A591)</f>
        <v>44</v>
      </c>
      <c r="C591" s="91" t="s">
        <v>573</v>
      </c>
      <c r="D591" s="126" t="s">
        <v>375</v>
      </c>
      <c r="E591" s="126"/>
      <c r="F591" s="145" t="s">
        <v>373</v>
      </c>
      <c r="G591" s="126" t="s">
        <v>311</v>
      </c>
      <c r="H591" s="126">
        <v>2</v>
      </c>
      <c r="I591" s="117">
        <v>485.3</v>
      </c>
      <c r="J591" s="117">
        <v>445.3</v>
      </c>
      <c r="K591" s="117">
        <v>387.3</v>
      </c>
      <c r="L591" s="127">
        <v>32</v>
      </c>
      <c r="M591" s="126" t="s">
        <v>271</v>
      </c>
      <c r="N591" s="126" t="s">
        <v>275</v>
      </c>
      <c r="O591" s="124" t="s">
        <v>1700</v>
      </c>
      <c r="P591" s="118">
        <v>2323274.2000000002</v>
      </c>
      <c r="Q591" s="118">
        <v>0</v>
      </c>
      <c r="R591" s="118">
        <v>0</v>
      </c>
      <c r="S591" s="118">
        <f t="shared" si="80"/>
        <v>2323274.2000000002</v>
      </c>
      <c r="T591" s="118">
        <f t="shared" si="82"/>
        <v>4787.2948691531019</v>
      </c>
      <c r="U591" s="118">
        <f t="shared" si="83"/>
        <v>5446.6827941479496</v>
      </c>
      <c r="V591" s="183">
        <f t="shared" si="75"/>
        <v>659.38792499484771</v>
      </c>
      <c r="W591" s="183"/>
      <c r="X591" s="183"/>
      <c r="Y591" s="64">
        <f t="shared" si="76"/>
        <v>5446.6827941479496</v>
      </c>
      <c r="AA591" s="64">
        <f t="shared" si="77"/>
        <v>506.2</v>
      </c>
      <c r="AC591" s="64" t="s">
        <v>683</v>
      </c>
      <c r="AD591" s="64">
        <v>260.10000000000002</v>
      </c>
      <c r="AH591" s="64" t="e">
        <f t="shared" si="78"/>
        <v>#N/A</v>
      </c>
      <c r="AS591" s="64" t="e">
        <f t="shared" si="79"/>
        <v>#N/A</v>
      </c>
    </row>
    <row r="592" spans="1:45" s="64" customFormat="1" ht="36" customHeight="1" x14ac:dyDescent="0.9">
      <c r="A592" s="64">
        <v>1</v>
      </c>
      <c r="B592" s="92">
        <f>SUBTOTAL(103,$A$548:A592)</f>
        <v>45</v>
      </c>
      <c r="C592" s="91" t="s">
        <v>574</v>
      </c>
      <c r="D592" s="126" t="s">
        <v>376</v>
      </c>
      <c r="E592" s="126"/>
      <c r="F592" s="145" t="s">
        <v>319</v>
      </c>
      <c r="G592" s="126" t="s">
        <v>360</v>
      </c>
      <c r="H592" s="126">
        <v>4</v>
      </c>
      <c r="I592" s="117">
        <v>3872.2</v>
      </c>
      <c r="J592" s="117">
        <v>3548.5</v>
      </c>
      <c r="K592" s="117">
        <v>2382.6</v>
      </c>
      <c r="L592" s="127">
        <v>172</v>
      </c>
      <c r="M592" s="126" t="s">
        <v>271</v>
      </c>
      <c r="N592" s="126" t="s">
        <v>275</v>
      </c>
      <c r="O592" s="124" t="s">
        <v>1102</v>
      </c>
      <c r="P592" s="118">
        <v>4748603.68</v>
      </c>
      <c r="Q592" s="118">
        <v>0</v>
      </c>
      <c r="R592" s="118">
        <v>0</v>
      </c>
      <c r="S592" s="118">
        <f t="shared" si="80"/>
        <v>4748603.68</v>
      </c>
      <c r="T592" s="118">
        <f t="shared" si="82"/>
        <v>1226.3322349052219</v>
      </c>
      <c r="U592" s="118">
        <f t="shared" si="83"/>
        <v>1294.5942874851505</v>
      </c>
      <c r="V592" s="183">
        <f t="shared" si="75"/>
        <v>68.26205257992865</v>
      </c>
      <c r="W592" s="183"/>
      <c r="X592" s="183"/>
      <c r="Y592" s="64">
        <f t="shared" si="76"/>
        <v>1294.5942874851505</v>
      </c>
      <c r="AA592" s="64">
        <f t="shared" si="77"/>
        <v>960</v>
      </c>
      <c r="AC592" s="64" t="s">
        <v>684</v>
      </c>
      <c r="AD592" s="64">
        <v>850</v>
      </c>
      <c r="AH592" s="64" t="e">
        <f t="shared" si="78"/>
        <v>#N/A</v>
      </c>
      <c r="AS592" s="64" t="e">
        <f t="shared" si="79"/>
        <v>#N/A</v>
      </c>
    </row>
    <row r="593" spans="1:45" s="64" customFormat="1" ht="36" customHeight="1" x14ac:dyDescent="0.9">
      <c r="A593" s="64">
        <v>1</v>
      </c>
      <c r="B593" s="92">
        <f>SUBTOTAL(103,$A$548:A593)</f>
        <v>46</v>
      </c>
      <c r="C593" s="91" t="s">
        <v>575</v>
      </c>
      <c r="D593" s="126" t="s">
        <v>370</v>
      </c>
      <c r="E593" s="126"/>
      <c r="F593" s="145" t="s">
        <v>273</v>
      </c>
      <c r="G593" s="126" t="s">
        <v>316</v>
      </c>
      <c r="H593" s="126">
        <v>3</v>
      </c>
      <c r="I593" s="117">
        <v>2170</v>
      </c>
      <c r="J593" s="117">
        <v>2000.7</v>
      </c>
      <c r="K593" s="117">
        <v>1948.1</v>
      </c>
      <c r="L593" s="127">
        <v>85</v>
      </c>
      <c r="M593" s="126" t="s">
        <v>271</v>
      </c>
      <c r="N593" s="126" t="s">
        <v>275</v>
      </c>
      <c r="O593" s="124" t="s">
        <v>1103</v>
      </c>
      <c r="P593" s="118">
        <v>3192730.04</v>
      </c>
      <c r="Q593" s="118">
        <v>0</v>
      </c>
      <c r="R593" s="118">
        <v>0</v>
      </c>
      <c r="S593" s="118">
        <f t="shared" si="80"/>
        <v>3192730.04</v>
      </c>
      <c r="T593" s="118">
        <f t="shared" si="82"/>
        <v>1471.3041658986176</v>
      </c>
      <c r="U593" s="118">
        <f t="shared" si="83"/>
        <v>1566.5400000000002</v>
      </c>
      <c r="V593" s="183">
        <f t="shared" ref="V593:V656" si="84">U593-T593</f>
        <v>95.235834101382579</v>
      </c>
      <c r="W593" s="183"/>
      <c r="X593" s="183"/>
      <c r="Y593" s="64">
        <f t="shared" ref="Y593:Y656" si="85">AA593*5221.8/I593</f>
        <v>1566.5400000000002</v>
      </c>
      <c r="AA593" s="64">
        <f t="shared" ref="AA593:AA656" si="86">VLOOKUP(C593,AC:AE,2,FALSE)</f>
        <v>651</v>
      </c>
      <c r="AC593" s="64" t="s">
        <v>709</v>
      </c>
      <c r="AD593" s="64">
        <v>550.5</v>
      </c>
      <c r="AH593" s="64" t="e">
        <f t="shared" ref="AH593:AH656" si="87">VLOOKUP(C593,AJ:AK,2,FALSE)</f>
        <v>#N/A</v>
      </c>
      <c r="AS593" s="64" t="e">
        <f t="shared" ref="AS593:AS656" si="88">VLOOKUP(C593,AU:AV,2,FALSE)</f>
        <v>#N/A</v>
      </c>
    </row>
    <row r="594" spans="1:45" s="64" customFormat="1" ht="36" customHeight="1" x14ac:dyDescent="0.9">
      <c r="A594" s="64">
        <v>1</v>
      </c>
      <c r="B594" s="92">
        <f>SUBTOTAL(103,$A$548:A594)</f>
        <v>47</v>
      </c>
      <c r="C594" s="91" t="s">
        <v>576</v>
      </c>
      <c r="D594" s="126">
        <v>1981</v>
      </c>
      <c r="E594" s="126"/>
      <c r="F594" s="145" t="s">
        <v>273</v>
      </c>
      <c r="G594" s="126">
        <v>5</v>
      </c>
      <c r="H594" s="126">
        <v>1</v>
      </c>
      <c r="I594" s="117">
        <v>1247.5999999999999</v>
      </c>
      <c r="J594" s="117">
        <v>982.4</v>
      </c>
      <c r="K594" s="117">
        <v>982.4</v>
      </c>
      <c r="L594" s="127">
        <v>41</v>
      </c>
      <c r="M594" s="126" t="s">
        <v>271</v>
      </c>
      <c r="N594" s="126" t="s">
        <v>275</v>
      </c>
      <c r="O594" s="124" t="s">
        <v>1429</v>
      </c>
      <c r="P594" s="118">
        <v>1265842.2</v>
      </c>
      <c r="Q594" s="118">
        <v>0</v>
      </c>
      <c r="R594" s="118">
        <v>0</v>
      </c>
      <c r="S594" s="118">
        <f t="shared" si="80"/>
        <v>1265842.2</v>
      </c>
      <c r="T594" s="118">
        <f t="shared" si="82"/>
        <v>1014.6218339211287</v>
      </c>
      <c r="U594" s="118">
        <f t="shared" si="83"/>
        <v>1201.2316447579353</v>
      </c>
      <c r="V594" s="183">
        <f t="shared" si="84"/>
        <v>186.60981083680667</v>
      </c>
      <c r="W594" s="183"/>
      <c r="X594" s="183"/>
      <c r="Y594" s="64">
        <f t="shared" si="85"/>
        <v>1201.2316447579353</v>
      </c>
      <c r="AA594" s="64">
        <f t="shared" si="86"/>
        <v>287</v>
      </c>
      <c r="AC594" s="64" t="s">
        <v>692</v>
      </c>
      <c r="AD594" s="64">
        <v>950</v>
      </c>
      <c r="AH594" s="64" t="e">
        <f t="shared" si="87"/>
        <v>#N/A</v>
      </c>
      <c r="AS594" s="64" t="e">
        <f t="shared" si="88"/>
        <v>#N/A</v>
      </c>
    </row>
    <row r="595" spans="1:45" s="64" customFormat="1" ht="36" customHeight="1" x14ac:dyDescent="0.9">
      <c r="A595" s="64">
        <v>1</v>
      </c>
      <c r="B595" s="92">
        <f>SUBTOTAL(103,$A$548:A595)</f>
        <v>48</v>
      </c>
      <c r="C595" s="91" t="s">
        <v>577</v>
      </c>
      <c r="D595" s="126" t="s">
        <v>325</v>
      </c>
      <c r="E595" s="126"/>
      <c r="F595" s="145" t="s">
        <v>273</v>
      </c>
      <c r="G595" s="126" t="s">
        <v>360</v>
      </c>
      <c r="H595" s="126">
        <v>1</v>
      </c>
      <c r="I595" s="117">
        <v>2919</v>
      </c>
      <c r="J595" s="117">
        <v>1755</v>
      </c>
      <c r="K595" s="117">
        <v>1549</v>
      </c>
      <c r="L595" s="127">
        <v>142</v>
      </c>
      <c r="M595" s="126" t="s">
        <v>271</v>
      </c>
      <c r="N595" s="126" t="s">
        <v>275</v>
      </c>
      <c r="O595" s="124" t="s">
        <v>1413</v>
      </c>
      <c r="P595" s="118">
        <v>3576070.0900000003</v>
      </c>
      <c r="Q595" s="118">
        <v>0</v>
      </c>
      <c r="R595" s="118">
        <v>0</v>
      </c>
      <c r="S595" s="118">
        <f t="shared" si="80"/>
        <v>3576070.0900000003</v>
      </c>
      <c r="T595" s="118">
        <f t="shared" si="82"/>
        <v>1225.1010928400137</v>
      </c>
      <c r="U595" s="118">
        <f t="shared" si="83"/>
        <v>1291.586022610483</v>
      </c>
      <c r="V595" s="183">
        <f t="shared" si="84"/>
        <v>66.484929770469307</v>
      </c>
      <c r="W595" s="183"/>
      <c r="X595" s="183"/>
      <c r="Y595" s="64">
        <f t="shared" si="85"/>
        <v>1291.586022610483</v>
      </c>
      <c r="AA595" s="64">
        <f t="shared" si="86"/>
        <v>722</v>
      </c>
      <c r="AC595" s="64" t="s">
        <v>678</v>
      </c>
      <c r="AD595" s="64">
        <v>550</v>
      </c>
      <c r="AH595" s="64" t="e">
        <f t="shared" si="87"/>
        <v>#N/A</v>
      </c>
      <c r="AS595" s="64" t="e">
        <f t="shared" si="88"/>
        <v>#N/A</v>
      </c>
    </row>
    <row r="596" spans="1:45" s="64" customFormat="1" ht="36" customHeight="1" x14ac:dyDescent="0.9">
      <c r="A596" s="64">
        <v>1</v>
      </c>
      <c r="B596" s="92">
        <f>SUBTOTAL(103,$A$548:A596)</f>
        <v>49</v>
      </c>
      <c r="C596" s="91" t="s">
        <v>578</v>
      </c>
      <c r="D596" s="126" t="s">
        <v>315</v>
      </c>
      <c r="E596" s="126"/>
      <c r="F596" s="145" t="s">
        <v>319</v>
      </c>
      <c r="G596" s="126" t="s">
        <v>360</v>
      </c>
      <c r="H596" s="126">
        <v>7</v>
      </c>
      <c r="I596" s="117">
        <v>8558.5</v>
      </c>
      <c r="J596" s="117">
        <v>6418.7</v>
      </c>
      <c r="K596" s="117">
        <v>5954.4</v>
      </c>
      <c r="L596" s="127">
        <v>300</v>
      </c>
      <c r="M596" s="126" t="s">
        <v>271</v>
      </c>
      <c r="N596" s="126" t="s">
        <v>275</v>
      </c>
      <c r="O596" s="124" t="s">
        <v>1413</v>
      </c>
      <c r="P596" s="118">
        <v>8216874.9699999997</v>
      </c>
      <c r="Q596" s="118">
        <v>0</v>
      </c>
      <c r="R596" s="118">
        <v>0</v>
      </c>
      <c r="S596" s="118">
        <f t="shared" si="80"/>
        <v>8216874.9699999997</v>
      </c>
      <c r="T596" s="118">
        <f t="shared" si="82"/>
        <v>960.08353917158377</v>
      </c>
      <c r="U596" s="118">
        <f t="shared" si="83"/>
        <v>1029.8999123678216</v>
      </c>
      <c r="V596" s="183">
        <f t="shared" si="84"/>
        <v>69.816373196237805</v>
      </c>
      <c r="W596" s="183"/>
      <c r="X596" s="183"/>
      <c r="Y596" s="64">
        <f t="shared" si="85"/>
        <v>1029.8999123678216</v>
      </c>
      <c r="AA596" s="64">
        <f t="shared" si="86"/>
        <v>1688</v>
      </c>
      <c r="AC596" s="64" t="s">
        <v>239</v>
      </c>
      <c r="AD596" s="64">
        <v>906</v>
      </c>
      <c r="AH596" s="64" t="e">
        <f t="shared" si="87"/>
        <v>#N/A</v>
      </c>
      <c r="AS596" s="64" t="e">
        <f t="shared" si="88"/>
        <v>#N/A</v>
      </c>
    </row>
    <row r="597" spans="1:45" s="64" customFormat="1" ht="36" customHeight="1" x14ac:dyDescent="0.9">
      <c r="A597" s="64">
        <v>1</v>
      </c>
      <c r="B597" s="92">
        <f>SUBTOTAL(103,$A$548:A597)</f>
        <v>50</v>
      </c>
      <c r="C597" s="91" t="s">
        <v>579</v>
      </c>
      <c r="D597" s="126" t="s">
        <v>314</v>
      </c>
      <c r="E597" s="126"/>
      <c r="F597" s="145" t="s">
        <v>273</v>
      </c>
      <c r="G597" s="126" t="s">
        <v>316</v>
      </c>
      <c r="H597" s="126">
        <v>3</v>
      </c>
      <c r="I597" s="117">
        <v>2920</v>
      </c>
      <c r="J597" s="117">
        <v>1821.75</v>
      </c>
      <c r="K597" s="117">
        <v>1787.35</v>
      </c>
      <c r="L597" s="127">
        <v>115</v>
      </c>
      <c r="M597" s="126" t="s">
        <v>271</v>
      </c>
      <c r="N597" s="126" t="s">
        <v>275</v>
      </c>
      <c r="O597" s="124" t="s">
        <v>1413</v>
      </c>
      <c r="P597" s="118">
        <v>5458332.7699999996</v>
      </c>
      <c r="Q597" s="118">
        <v>0</v>
      </c>
      <c r="R597" s="118">
        <v>0</v>
      </c>
      <c r="S597" s="118">
        <f t="shared" si="80"/>
        <v>5458332.7699999996</v>
      </c>
      <c r="T597" s="118">
        <f t="shared" si="82"/>
        <v>1869.2920445205477</v>
      </c>
      <c r="U597" s="118">
        <f t="shared" si="83"/>
        <v>2020.7650684931507</v>
      </c>
      <c r="V597" s="183">
        <f t="shared" si="84"/>
        <v>151.47302397260296</v>
      </c>
      <c r="W597" s="183"/>
      <c r="X597" s="183"/>
      <c r="Y597" s="64">
        <f t="shared" si="85"/>
        <v>2020.7650684931507</v>
      </c>
      <c r="AA597" s="64">
        <f t="shared" si="86"/>
        <v>1130</v>
      </c>
      <c r="AC597" s="64" t="s">
        <v>243</v>
      </c>
      <c r="AD597" s="64">
        <v>1563</v>
      </c>
      <c r="AH597" s="64" t="e">
        <f t="shared" si="87"/>
        <v>#N/A</v>
      </c>
      <c r="AS597" s="64" t="e">
        <f t="shared" si="88"/>
        <v>#N/A</v>
      </c>
    </row>
    <row r="598" spans="1:45" s="64" customFormat="1" ht="36" customHeight="1" x14ac:dyDescent="0.9">
      <c r="A598" s="64">
        <v>1</v>
      </c>
      <c r="B598" s="92">
        <f>SUBTOTAL(103,$A$548:A598)</f>
        <v>51</v>
      </c>
      <c r="C598" s="91" t="s">
        <v>1407</v>
      </c>
      <c r="D598" s="126">
        <v>1961</v>
      </c>
      <c r="E598" s="126"/>
      <c r="F598" s="145" t="s">
        <v>273</v>
      </c>
      <c r="G598" s="126" t="s">
        <v>360</v>
      </c>
      <c r="H598" s="126">
        <v>3</v>
      </c>
      <c r="I598" s="117">
        <v>2772</v>
      </c>
      <c r="J598" s="117">
        <v>2431.1</v>
      </c>
      <c r="K598" s="117">
        <v>2250.6999999999998</v>
      </c>
      <c r="L598" s="127">
        <v>125</v>
      </c>
      <c r="M598" s="126" t="s">
        <v>271</v>
      </c>
      <c r="N598" s="126" t="s">
        <v>275</v>
      </c>
      <c r="O598" s="124" t="s">
        <v>1414</v>
      </c>
      <c r="P598" s="118">
        <v>3614770.42</v>
      </c>
      <c r="Q598" s="118">
        <v>0</v>
      </c>
      <c r="R598" s="118">
        <v>0</v>
      </c>
      <c r="S598" s="118">
        <f t="shared" si="80"/>
        <v>3614770.42</v>
      </c>
      <c r="T598" s="118">
        <f t="shared" si="82"/>
        <v>1304.0297330447331</v>
      </c>
      <c r="U598" s="118">
        <f t="shared" si="83"/>
        <v>1424.1272727272728</v>
      </c>
      <c r="V598" s="183">
        <f t="shared" si="84"/>
        <v>120.09753968253972</v>
      </c>
      <c r="W598" s="183"/>
      <c r="X598" s="183"/>
      <c r="Y598" s="64">
        <f t="shared" si="85"/>
        <v>1424.1272727272728</v>
      </c>
      <c r="AA598" s="64">
        <f t="shared" si="86"/>
        <v>756</v>
      </c>
      <c r="AC598" s="64" t="s">
        <v>248</v>
      </c>
      <c r="AD598" s="64">
        <v>338.2</v>
      </c>
      <c r="AH598" s="64" t="e">
        <f t="shared" si="87"/>
        <v>#N/A</v>
      </c>
      <c r="AS598" s="64" t="e">
        <f t="shared" si="88"/>
        <v>#N/A</v>
      </c>
    </row>
    <row r="599" spans="1:45" s="64" customFormat="1" ht="36" customHeight="1" x14ac:dyDescent="0.9">
      <c r="A599" s="64">
        <v>1</v>
      </c>
      <c r="B599" s="92">
        <f>SUBTOTAL(103,$A$548:A599)</f>
        <v>52</v>
      </c>
      <c r="C599" s="91" t="s">
        <v>1408</v>
      </c>
      <c r="D599" s="126">
        <v>1994</v>
      </c>
      <c r="E599" s="126"/>
      <c r="F599" s="145" t="s">
        <v>273</v>
      </c>
      <c r="G599" s="126">
        <v>4</v>
      </c>
      <c r="H599" s="126">
        <v>3</v>
      </c>
      <c r="I599" s="117">
        <v>1861.8</v>
      </c>
      <c r="J599" s="117">
        <v>1644.3</v>
      </c>
      <c r="K599" s="117">
        <v>1644.3</v>
      </c>
      <c r="L599" s="127">
        <v>80</v>
      </c>
      <c r="M599" s="126" t="s">
        <v>271</v>
      </c>
      <c r="N599" s="126" t="s">
        <v>275</v>
      </c>
      <c r="O599" s="124" t="s">
        <v>1426</v>
      </c>
      <c r="P599" s="118">
        <v>3214943.65</v>
      </c>
      <c r="Q599" s="118">
        <v>0</v>
      </c>
      <c r="R599" s="118">
        <v>0</v>
      </c>
      <c r="S599" s="118">
        <f t="shared" si="80"/>
        <v>3214943.65</v>
      </c>
      <c r="T599" s="118">
        <f t="shared" si="82"/>
        <v>1726.793237726931</v>
      </c>
      <c r="U599" s="118">
        <f t="shared" si="83"/>
        <v>1879.1524331292298</v>
      </c>
      <c r="V599" s="183">
        <f t="shared" si="84"/>
        <v>152.35919540229884</v>
      </c>
      <c r="W599" s="183"/>
      <c r="X599" s="183"/>
      <c r="Y599" s="64">
        <f t="shared" si="85"/>
        <v>1879.1524331292298</v>
      </c>
      <c r="AA599" s="64">
        <f t="shared" si="86"/>
        <v>670</v>
      </c>
      <c r="AC599" s="64" t="s">
        <v>4</v>
      </c>
      <c r="AD599" s="64">
        <v>646.1</v>
      </c>
      <c r="AH599" s="64" t="e">
        <f t="shared" si="87"/>
        <v>#N/A</v>
      </c>
      <c r="AS599" s="64" t="e">
        <f t="shared" si="88"/>
        <v>#N/A</v>
      </c>
    </row>
    <row r="600" spans="1:45" s="64" customFormat="1" ht="36" customHeight="1" x14ac:dyDescent="0.9">
      <c r="A600" s="64">
        <v>1</v>
      </c>
      <c r="B600" s="92">
        <f>SUBTOTAL(103,$A$548:A600)</f>
        <v>53</v>
      </c>
      <c r="C600" s="91" t="s">
        <v>1409</v>
      </c>
      <c r="D600" s="126">
        <v>1917</v>
      </c>
      <c r="E600" s="126"/>
      <c r="F600" s="145" t="s">
        <v>273</v>
      </c>
      <c r="G600" s="126">
        <v>2</v>
      </c>
      <c r="H600" s="126">
        <v>1</v>
      </c>
      <c r="I600" s="117">
        <v>370.5</v>
      </c>
      <c r="J600" s="117">
        <v>370.5</v>
      </c>
      <c r="K600" s="117">
        <v>208.6</v>
      </c>
      <c r="L600" s="127">
        <v>22</v>
      </c>
      <c r="M600" s="126" t="s">
        <v>271</v>
      </c>
      <c r="N600" s="126" t="s">
        <v>275</v>
      </c>
      <c r="O600" s="124" t="s">
        <v>1427</v>
      </c>
      <c r="P600" s="118">
        <v>1335035.1000000001</v>
      </c>
      <c r="Q600" s="118">
        <v>0</v>
      </c>
      <c r="R600" s="118">
        <v>0</v>
      </c>
      <c r="S600" s="118">
        <f t="shared" si="80"/>
        <v>1335035.1000000001</v>
      </c>
      <c r="T600" s="118">
        <f t="shared" si="82"/>
        <v>3603.3336032388665</v>
      </c>
      <c r="U600" s="118">
        <f t="shared" si="83"/>
        <v>3834.2528744939277</v>
      </c>
      <c r="V600" s="183">
        <f t="shared" si="84"/>
        <v>230.91927125506118</v>
      </c>
      <c r="W600" s="183"/>
      <c r="X600" s="183"/>
      <c r="Y600" s="64">
        <f t="shared" si="85"/>
        <v>3834.2528744939277</v>
      </c>
      <c r="AA600" s="64">
        <f t="shared" si="86"/>
        <v>272.05</v>
      </c>
      <c r="AC600" s="64" t="s">
        <v>3</v>
      </c>
      <c r="AD600" s="64">
        <v>750</v>
      </c>
      <c r="AH600" s="64" t="e">
        <f t="shared" si="87"/>
        <v>#N/A</v>
      </c>
      <c r="AS600" s="64" t="e">
        <f t="shared" si="88"/>
        <v>#N/A</v>
      </c>
    </row>
    <row r="601" spans="1:45" s="64" customFormat="1" ht="36" customHeight="1" x14ac:dyDescent="0.9">
      <c r="A601" s="64">
        <v>1</v>
      </c>
      <c r="B601" s="92">
        <f>SUBTOTAL(103,$A$548:A601)</f>
        <v>54</v>
      </c>
      <c r="C601" s="91" t="s">
        <v>1410</v>
      </c>
      <c r="D601" s="126">
        <v>1917</v>
      </c>
      <c r="E601" s="126"/>
      <c r="F601" s="145" t="s">
        <v>273</v>
      </c>
      <c r="G601" s="126">
        <v>3</v>
      </c>
      <c r="H601" s="126">
        <v>2</v>
      </c>
      <c r="I601" s="117">
        <v>1376.9</v>
      </c>
      <c r="J601" s="117">
        <v>779.2</v>
      </c>
      <c r="K601" s="117">
        <v>660.2</v>
      </c>
      <c r="L601" s="127">
        <v>50</v>
      </c>
      <c r="M601" s="126" t="s">
        <v>271</v>
      </c>
      <c r="N601" s="126" t="s">
        <v>275</v>
      </c>
      <c r="O601" s="124" t="s">
        <v>1413</v>
      </c>
      <c r="P601" s="118">
        <v>4219164.3499999996</v>
      </c>
      <c r="Q601" s="118">
        <v>0</v>
      </c>
      <c r="R601" s="118">
        <v>0</v>
      </c>
      <c r="S601" s="118">
        <f t="shared" si="80"/>
        <v>4219164.3499999996</v>
      </c>
      <c r="T601" s="118">
        <f t="shared" si="82"/>
        <v>3064.2489287529952</v>
      </c>
      <c r="U601" s="118">
        <f t="shared" si="83"/>
        <v>3360.0949960055191</v>
      </c>
      <c r="V601" s="183">
        <f t="shared" si="84"/>
        <v>295.84606725252388</v>
      </c>
      <c r="W601" s="183"/>
      <c r="X601" s="183"/>
      <c r="Y601" s="64">
        <f t="shared" si="85"/>
        <v>3360.0949960055191</v>
      </c>
      <c r="AA601" s="64">
        <f t="shared" si="86"/>
        <v>886</v>
      </c>
      <c r="AC601" s="64" t="s">
        <v>719</v>
      </c>
      <c r="AD601" s="64">
        <v>440</v>
      </c>
      <c r="AH601" s="64" t="e">
        <f t="shared" si="87"/>
        <v>#N/A</v>
      </c>
      <c r="AS601" s="64" t="e">
        <f t="shared" si="88"/>
        <v>#N/A</v>
      </c>
    </row>
    <row r="602" spans="1:45" s="64" customFormat="1" ht="36" customHeight="1" x14ac:dyDescent="0.9">
      <c r="A602" s="64">
        <v>1</v>
      </c>
      <c r="B602" s="92">
        <f>SUBTOTAL(103,$A$548:A602)</f>
        <v>55</v>
      </c>
      <c r="C602" s="91" t="s">
        <v>1411</v>
      </c>
      <c r="D602" s="126">
        <v>1961</v>
      </c>
      <c r="E602" s="126"/>
      <c r="F602" s="145" t="s">
        <v>273</v>
      </c>
      <c r="G602" s="126" t="s">
        <v>316</v>
      </c>
      <c r="H602" s="126">
        <v>2</v>
      </c>
      <c r="I602" s="117">
        <v>1130.4000000000001</v>
      </c>
      <c r="J602" s="117">
        <v>1044.5999999999999</v>
      </c>
      <c r="K602" s="117">
        <v>1044.5999999999999</v>
      </c>
      <c r="L602" s="127">
        <v>65</v>
      </c>
      <c r="M602" s="126" t="s">
        <v>271</v>
      </c>
      <c r="N602" s="126" t="s">
        <v>275</v>
      </c>
      <c r="O602" s="124" t="s">
        <v>1428</v>
      </c>
      <c r="P602" s="118">
        <v>3028742.06</v>
      </c>
      <c r="Q602" s="118">
        <v>0</v>
      </c>
      <c r="R602" s="118">
        <v>0</v>
      </c>
      <c r="S602" s="118">
        <f t="shared" si="80"/>
        <v>3028742.06</v>
      </c>
      <c r="T602" s="118">
        <f t="shared" si="82"/>
        <v>2679.3542639773532</v>
      </c>
      <c r="U602" s="118">
        <f t="shared" si="83"/>
        <v>2910.2388535031846</v>
      </c>
      <c r="V602" s="183">
        <f t="shared" si="84"/>
        <v>230.88458952583142</v>
      </c>
      <c r="W602" s="183"/>
      <c r="X602" s="183"/>
      <c r="Y602" s="64">
        <f t="shared" si="85"/>
        <v>2910.2388535031846</v>
      </c>
      <c r="AA602" s="64">
        <f t="shared" si="86"/>
        <v>630</v>
      </c>
      <c r="AC602" s="64" t="s">
        <v>717</v>
      </c>
      <c r="AD602" s="64">
        <v>416</v>
      </c>
      <c r="AH602" s="64" t="e">
        <f t="shared" si="87"/>
        <v>#N/A</v>
      </c>
      <c r="AS602" s="64" t="e">
        <f t="shared" si="88"/>
        <v>#N/A</v>
      </c>
    </row>
    <row r="603" spans="1:45" s="64" customFormat="1" ht="36" customHeight="1" x14ac:dyDescent="0.9">
      <c r="A603" s="64">
        <v>1</v>
      </c>
      <c r="B603" s="92">
        <f>SUBTOTAL(103,$A$548:A603)</f>
        <v>56</v>
      </c>
      <c r="C603" s="91" t="s">
        <v>496</v>
      </c>
      <c r="D603" s="126">
        <v>1969</v>
      </c>
      <c r="E603" s="126"/>
      <c r="F603" s="145" t="s">
        <v>273</v>
      </c>
      <c r="G603" s="126">
        <v>5</v>
      </c>
      <c r="H603" s="126">
        <v>4</v>
      </c>
      <c r="I603" s="117">
        <v>4124.2</v>
      </c>
      <c r="J603" s="117">
        <v>3012</v>
      </c>
      <c r="K603" s="117">
        <v>2927.7</v>
      </c>
      <c r="L603" s="127">
        <v>141</v>
      </c>
      <c r="M603" s="126" t="s">
        <v>271</v>
      </c>
      <c r="N603" s="126" t="s">
        <v>275</v>
      </c>
      <c r="O603" s="124" t="s">
        <v>1118</v>
      </c>
      <c r="P603" s="118">
        <v>3923557.16</v>
      </c>
      <c r="Q603" s="118">
        <v>0</v>
      </c>
      <c r="R603" s="118">
        <v>0</v>
      </c>
      <c r="S603" s="118">
        <f t="shared" si="80"/>
        <v>3923557.16</v>
      </c>
      <c r="T603" s="118">
        <f t="shared" si="82"/>
        <v>951.34987633965386</v>
      </c>
      <c r="U603" s="118">
        <f t="shared" si="83"/>
        <v>1379.5822898986469</v>
      </c>
      <c r="V603" s="183">
        <f t="shared" si="84"/>
        <v>428.23241355899302</v>
      </c>
      <c r="W603" s="183"/>
      <c r="X603" s="183"/>
      <c r="Y603" s="64">
        <f t="shared" si="85"/>
        <v>1379.5822898986469</v>
      </c>
      <c r="AA603" s="64">
        <f t="shared" si="86"/>
        <v>1089.5999999999999</v>
      </c>
      <c r="AC603" s="64" t="s">
        <v>725</v>
      </c>
      <c r="AD603" s="64">
        <v>975.8</v>
      </c>
      <c r="AH603" s="64" t="e">
        <f t="shared" si="87"/>
        <v>#N/A</v>
      </c>
      <c r="AS603" s="64" t="e">
        <f t="shared" si="88"/>
        <v>#N/A</v>
      </c>
    </row>
    <row r="604" spans="1:45" s="64" customFormat="1" ht="36" customHeight="1" x14ac:dyDescent="0.9">
      <c r="A604" s="64">
        <v>1</v>
      </c>
      <c r="B604" s="92">
        <f>SUBTOTAL(103,$A$548:A604)</f>
        <v>57</v>
      </c>
      <c r="C604" s="91" t="s">
        <v>510</v>
      </c>
      <c r="D604" s="126">
        <v>1960</v>
      </c>
      <c r="E604" s="126"/>
      <c r="F604" s="145" t="s">
        <v>273</v>
      </c>
      <c r="G604" s="126">
        <v>5</v>
      </c>
      <c r="H604" s="126">
        <v>3</v>
      </c>
      <c r="I604" s="117">
        <v>3202.4</v>
      </c>
      <c r="J604" s="117">
        <v>2438.8000000000002</v>
      </c>
      <c r="K604" s="117">
        <v>2307.6</v>
      </c>
      <c r="L604" s="127">
        <v>127</v>
      </c>
      <c r="M604" s="126" t="s">
        <v>271</v>
      </c>
      <c r="N604" s="126" t="s">
        <v>275</v>
      </c>
      <c r="O604" s="124" t="s">
        <v>1118</v>
      </c>
      <c r="P604" s="118">
        <v>6662526.4900000002</v>
      </c>
      <c r="Q604" s="118">
        <v>0</v>
      </c>
      <c r="R604" s="118">
        <v>0</v>
      </c>
      <c r="S604" s="118">
        <f t="shared" si="80"/>
        <v>6662526.4900000002</v>
      </c>
      <c r="T604" s="118">
        <f t="shared" si="82"/>
        <v>2080.4791687484385</v>
      </c>
      <c r="U604" s="118">
        <f>AG604</f>
        <v>5082.3611940298506</v>
      </c>
      <c r="V604" s="183">
        <f t="shared" si="84"/>
        <v>3001.8820252814121</v>
      </c>
      <c r="W604" s="183"/>
      <c r="X604" s="183"/>
      <c r="Y604" s="64" t="e">
        <f t="shared" si="85"/>
        <v>#N/A</v>
      </c>
      <c r="AA604" s="64" t="e">
        <f t="shared" si="86"/>
        <v>#N/A</v>
      </c>
      <c r="AC604" s="64" t="s">
        <v>723</v>
      </c>
      <c r="AD604" s="64">
        <v>945</v>
      </c>
      <c r="AG604" s="64">
        <f>AH604*6191.24/J604</f>
        <v>5082.3611940298506</v>
      </c>
      <c r="AH604" s="64">
        <f t="shared" si="87"/>
        <v>2002</v>
      </c>
      <c r="AS604" s="64" t="e">
        <f t="shared" si="88"/>
        <v>#N/A</v>
      </c>
    </row>
    <row r="605" spans="1:45" s="64" customFormat="1" ht="36" customHeight="1" x14ac:dyDescent="0.9">
      <c r="A605" s="64">
        <v>1</v>
      </c>
      <c r="B605" s="92">
        <f>SUBTOTAL(103,$A$548:A605)</f>
        <v>58</v>
      </c>
      <c r="C605" s="91" t="s">
        <v>1095</v>
      </c>
      <c r="D605" s="126">
        <v>1941</v>
      </c>
      <c r="E605" s="126"/>
      <c r="F605" s="145" t="s">
        <v>273</v>
      </c>
      <c r="G605" s="126">
        <v>3</v>
      </c>
      <c r="H605" s="126">
        <v>2</v>
      </c>
      <c r="I605" s="117">
        <v>1259.5999999999999</v>
      </c>
      <c r="J605" s="117">
        <v>1105.5</v>
      </c>
      <c r="K605" s="117">
        <v>1105.5</v>
      </c>
      <c r="L605" s="127">
        <v>57</v>
      </c>
      <c r="M605" s="126" t="s">
        <v>271</v>
      </c>
      <c r="N605" s="126" t="s">
        <v>275</v>
      </c>
      <c r="O605" s="124" t="s">
        <v>1103</v>
      </c>
      <c r="P605" s="118">
        <v>3068875</v>
      </c>
      <c r="Q605" s="118">
        <v>0</v>
      </c>
      <c r="R605" s="118">
        <v>0</v>
      </c>
      <c r="S605" s="118">
        <f t="shared" si="80"/>
        <v>3068875</v>
      </c>
      <c r="T605" s="118">
        <f t="shared" si="82"/>
        <v>2436.3885360431887</v>
      </c>
      <c r="U605" s="118">
        <f>AG605</f>
        <v>4816.3422885572136</v>
      </c>
      <c r="V605" s="183">
        <f t="shared" si="84"/>
        <v>2379.9537525140249</v>
      </c>
      <c r="W605" s="183"/>
      <c r="X605" s="183"/>
      <c r="Y605" s="64" t="e">
        <f t="shared" si="85"/>
        <v>#N/A</v>
      </c>
      <c r="AA605" s="64" t="e">
        <f t="shared" si="86"/>
        <v>#N/A</v>
      </c>
      <c r="AC605" s="64" t="s">
        <v>720</v>
      </c>
      <c r="AD605" s="64">
        <v>398</v>
      </c>
      <c r="AG605" s="64">
        <f>AH605*6191.24/J605</f>
        <v>4816.3422885572136</v>
      </c>
      <c r="AH605" s="64">
        <f t="shared" si="87"/>
        <v>860</v>
      </c>
      <c r="AS605" s="64" t="e">
        <f t="shared" si="88"/>
        <v>#N/A</v>
      </c>
    </row>
    <row r="606" spans="1:45" s="64" customFormat="1" ht="36" customHeight="1" x14ac:dyDescent="0.9">
      <c r="A606" s="64">
        <v>1</v>
      </c>
      <c r="B606" s="92">
        <f>SUBTOTAL(103,$A$548:A606)</f>
        <v>59</v>
      </c>
      <c r="C606" s="91" t="s">
        <v>1430</v>
      </c>
      <c r="D606" s="126">
        <v>1961</v>
      </c>
      <c r="E606" s="126"/>
      <c r="F606" s="145" t="s">
        <v>273</v>
      </c>
      <c r="G606" s="126">
        <v>5</v>
      </c>
      <c r="H606" s="126">
        <v>3</v>
      </c>
      <c r="I606" s="117">
        <v>2564.1</v>
      </c>
      <c r="J606" s="117">
        <v>2365.9</v>
      </c>
      <c r="K606" s="117">
        <v>2308.6</v>
      </c>
      <c r="L606" s="127">
        <v>130</v>
      </c>
      <c r="M606" s="126" t="s">
        <v>271</v>
      </c>
      <c r="N606" s="126" t="s">
        <v>275</v>
      </c>
      <c r="O606" s="124" t="s">
        <v>1414</v>
      </c>
      <c r="P606" s="118">
        <v>3884747.5999999996</v>
      </c>
      <c r="Q606" s="118">
        <v>0</v>
      </c>
      <c r="R606" s="118">
        <v>0</v>
      </c>
      <c r="S606" s="118">
        <f t="shared" si="80"/>
        <v>3884747.5999999996</v>
      </c>
      <c r="T606" s="118">
        <f t="shared" si="82"/>
        <v>1515.053079053079</v>
      </c>
      <c r="U606" s="118">
        <f>Y606</f>
        <v>1692.538504738505</v>
      </c>
      <c r="V606" s="183">
        <f t="shared" si="84"/>
        <v>177.48542568542598</v>
      </c>
      <c r="W606" s="183"/>
      <c r="X606" s="183"/>
      <c r="Y606" s="64">
        <f t="shared" si="85"/>
        <v>1692.538504738505</v>
      </c>
      <c r="AA606" s="64">
        <f t="shared" si="86"/>
        <v>831.1</v>
      </c>
      <c r="AC606" s="64" t="s">
        <v>135</v>
      </c>
      <c r="AD606" s="64">
        <v>1175</v>
      </c>
      <c r="AH606" s="64" t="e">
        <f t="shared" si="87"/>
        <v>#N/A</v>
      </c>
      <c r="AS606" s="64" t="e">
        <f t="shared" si="88"/>
        <v>#N/A</v>
      </c>
    </row>
    <row r="607" spans="1:45" s="64" customFormat="1" ht="36" customHeight="1" x14ac:dyDescent="0.9">
      <c r="A607" s="64">
        <v>1</v>
      </c>
      <c r="B607" s="92">
        <f>SUBTOTAL(103,$A$548:A607)</f>
        <v>60</v>
      </c>
      <c r="C607" s="91" t="s">
        <v>1403</v>
      </c>
      <c r="D607" s="126">
        <v>1973</v>
      </c>
      <c r="E607" s="126"/>
      <c r="F607" s="145" t="s">
        <v>273</v>
      </c>
      <c r="G607" s="126">
        <v>9</v>
      </c>
      <c r="H607" s="126">
        <v>1</v>
      </c>
      <c r="I607" s="117">
        <v>1958.4</v>
      </c>
      <c r="J607" s="117">
        <v>1941.8</v>
      </c>
      <c r="K607" s="117">
        <v>1860.4</v>
      </c>
      <c r="L607" s="127">
        <v>135</v>
      </c>
      <c r="M607" s="126" t="s">
        <v>271</v>
      </c>
      <c r="N607" s="126" t="s">
        <v>275</v>
      </c>
      <c r="O607" s="124" t="s">
        <v>1415</v>
      </c>
      <c r="P607" s="118">
        <v>2248303</v>
      </c>
      <c r="Q607" s="118">
        <v>0</v>
      </c>
      <c r="R607" s="118">
        <v>0</v>
      </c>
      <c r="S607" s="118">
        <f t="shared" si="80"/>
        <v>2248303</v>
      </c>
      <c r="T607" s="118">
        <f t="shared" si="82"/>
        <v>1148.0305351307188</v>
      </c>
      <c r="U607" s="118">
        <f>AG607</f>
        <v>1766.3749922752086</v>
      </c>
      <c r="V607" s="183">
        <f t="shared" si="84"/>
        <v>618.34445714448975</v>
      </c>
      <c r="W607" s="183"/>
      <c r="X607" s="183"/>
      <c r="Y607" s="64" t="e">
        <f t="shared" si="85"/>
        <v>#N/A</v>
      </c>
      <c r="AA607" s="64" t="e">
        <f t="shared" si="86"/>
        <v>#N/A</v>
      </c>
      <c r="AC607" s="64" t="s">
        <v>132</v>
      </c>
      <c r="AD607" s="64">
        <v>748</v>
      </c>
      <c r="AG607" s="64">
        <f>AH607*6191.24/J607</f>
        <v>1766.3749922752086</v>
      </c>
      <c r="AH607" s="64">
        <f t="shared" si="87"/>
        <v>554</v>
      </c>
      <c r="AS607" s="64" t="e">
        <f t="shared" si="88"/>
        <v>#N/A</v>
      </c>
    </row>
    <row r="608" spans="1:45" s="64" customFormat="1" ht="36" customHeight="1" x14ac:dyDescent="0.9">
      <c r="A608" s="64">
        <v>1</v>
      </c>
      <c r="B608" s="92">
        <f>SUBTOTAL(103,$A$548:A608)</f>
        <v>61</v>
      </c>
      <c r="C608" s="91" t="s">
        <v>1134</v>
      </c>
      <c r="D608" s="126">
        <v>1959</v>
      </c>
      <c r="E608" s="126"/>
      <c r="F608" s="145" t="s">
        <v>273</v>
      </c>
      <c r="G608" s="126">
        <v>4</v>
      </c>
      <c r="H608" s="126">
        <v>3</v>
      </c>
      <c r="I608" s="117">
        <v>2756</v>
      </c>
      <c r="J608" s="117">
        <v>2605</v>
      </c>
      <c r="K608" s="117">
        <v>2310</v>
      </c>
      <c r="L608" s="127">
        <v>91</v>
      </c>
      <c r="M608" s="126" t="s">
        <v>271</v>
      </c>
      <c r="N608" s="126" t="s">
        <v>275</v>
      </c>
      <c r="O608" s="124" t="s">
        <v>1428</v>
      </c>
      <c r="P608" s="118">
        <v>2785299.21</v>
      </c>
      <c r="Q608" s="118">
        <v>0</v>
      </c>
      <c r="R608" s="118">
        <v>0</v>
      </c>
      <c r="S608" s="118">
        <f t="shared" si="80"/>
        <v>2785299.21</v>
      </c>
      <c r="T608" s="118">
        <f t="shared" si="82"/>
        <v>1010.6310631349783</v>
      </c>
      <c r="U608" s="118">
        <f>AG608</f>
        <v>3622.8141868714006</v>
      </c>
      <c r="V608" s="183">
        <f t="shared" si="84"/>
        <v>2612.1831237364222</v>
      </c>
      <c r="W608" s="183"/>
      <c r="X608" s="183"/>
      <c r="Y608" s="64" t="e">
        <f t="shared" si="85"/>
        <v>#N/A</v>
      </c>
      <c r="AA608" s="64" t="e">
        <f t="shared" si="86"/>
        <v>#N/A</v>
      </c>
      <c r="AC608" s="64" t="s">
        <v>137</v>
      </c>
      <c r="AD608" s="64">
        <v>825</v>
      </c>
      <c r="AG608" s="64">
        <f>AH608*6191.24/J608</f>
        <v>3622.8141868714006</v>
      </c>
      <c r="AH608" s="64">
        <f t="shared" si="87"/>
        <v>1524.32</v>
      </c>
      <c r="AS608" s="64" t="e">
        <f t="shared" si="88"/>
        <v>#N/A</v>
      </c>
    </row>
    <row r="609" spans="1:45" s="64" customFormat="1" ht="36" customHeight="1" x14ac:dyDescent="0.9">
      <c r="A609" s="64">
        <v>1</v>
      </c>
      <c r="B609" s="92">
        <f>SUBTOTAL(103,$A$548:A609)</f>
        <v>62</v>
      </c>
      <c r="C609" s="91" t="s">
        <v>1144</v>
      </c>
      <c r="D609" s="126">
        <v>1950</v>
      </c>
      <c r="E609" s="126"/>
      <c r="F609" s="145" t="s">
        <v>273</v>
      </c>
      <c r="G609" s="126">
        <v>2</v>
      </c>
      <c r="H609" s="126">
        <v>2</v>
      </c>
      <c r="I609" s="117">
        <v>813.8</v>
      </c>
      <c r="J609" s="117">
        <v>739.3</v>
      </c>
      <c r="K609" s="117">
        <v>696.4</v>
      </c>
      <c r="L609" s="127">
        <v>39</v>
      </c>
      <c r="M609" s="126" t="s">
        <v>271</v>
      </c>
      <c r="N609" s="126" t="s">
        <v>275</v>
      </c>
      <c r="O609" s="124" t="s">
        <v>1428</v>
      </c>
      <c r="P609" s="118">
        <v>1338055.4100000001</v>
      </c>
      <c r="Q609" s="118">
        <v>0</v>
      </c>
      <c r="R609" s="118">
        <v>0</v>
      </c>
      <c r="S609" s="118">
        <f t="shared" si="80"/>
        <v>1338055.4100000001</v>
      </c>
      <c r="T609" s="118">
        <f t="shared" si="82"/>
        <v>1644.2066969771445</v>
      </c>
      <c r="U609" s="118">
        <f>T609</f>
        <v>1644.2066969771445</v>
      </c>
      <c r="V609" s="183">
        <f t="shared" si="84"/>
        <v>0</v>
      </c>
      <c r="W609" s="183"/>
      <c r="X609" s="183"/>
      <c r="Y609" s="64" t="e">
        <f t="shared" si="85"/>
        <v>#N/A</v>
      </c>
      <c r="AA609" s="64" t="e">
        <f t="shared" si="86"/>
        <v>#N/A</v>
      </c>
      <c r="AC609" s="64" t="s">
        <v>133</v>
      </c>
      <c r="AD609" s="64">
        <v>1007</v>
      </c>
      <c r="AH609" s="64" t="e">
        <f t="shared" si="87"/>
        <v>#N/A</v>
      </c>
      <c r="AS609" s="64" t="e">
        <f t="shared" si="88"/>
        <v>#N/A</v>
      </c>
    </row>
    <row r="610" spans="1:45" s="64" customFormat="1" ht="36" customHeight="1" x14ac:dyDescent="0.9">
      <c r="A610" s="64">
        <v>1</v>
      </c>
      <c r="B610" s="92">
        <f>SUBTOTAL(103,$A$548:A610)</f>
        <v>63</v>
      </c>
      <c r="C610" s="91" t="s">
        <v>1145</v>
      </c>
      <c r="D610" s="126">
        <v>1958</v>
      </c>
      <c r="E610" s="126"/>
      <c r="F610" s="145" t="s">
        <v>273</v>
      </c>
      <c r="G610" s="126">
        <v>2</v>
      </c>
      <c r="H610" s="126">
        <v>2</v>
      </c>
      <c r="I610" s="117">
        <v>515.4</v>
      </c>
      <c r="J610" s="117">
        <v>454.3</v>
      </c>
      <c r="K610" s="117">
        <v>339.6</v>
      </c>
      <c r="L610" s="127">
        <v>21</v>
      </c>
      <c r="M610" s="126" t="s">
        <v>271</v>
      </c>
      <c r="N610" s="126" t="s">
        <v>275</v>
      </c>
      <c r="O610" s="124" t="s">
        <v>1413</v>
      </c>
      <c r="P610" s="118">
        <v>221655.15999999997</v>
      </c>
      <c r="Q610" s="118">
        <v>0</v>
      </c>
      <c r="R610" s="118">
        <v>0</v>
      </c>
      <c r="S610" s="118">
        <f t="shared" si="80"/>
        <v>221655.15999999997</v>
      </c>
      <c r="T610" s="118">
        <f t="shared" si="82"/>
        <v>430.06433837795885</v>
      </c>
      <c r="U610" s="118">
        <f>T610</f>
        <v>430.06433837795885</v>
      </c>
      <c r="V610" s="183">
        <f t="shared" si="84"/>
        <v>0</v>
      </c>
      <c r="W610" s="183"/>
      <c r="X610" s="183"/>
      <c r="Y610" s="64" t="e">
        <f t="shared" si="85"/>
        <v>#N/A</v>
      </c>
      <c r="AA610" s="64" t="e">
        <f t="shared" si="86"/>
        <v>#N/A</v>
      </c>
      <c r="AC610" s="64" t="s">
        <v>134</v>
      </c>
      <c r="AD610" s="64">
        <v>772.6</v>
      </c>
      <c r="AH610" s="64" t="e">
        <f t="shared" si="87"/>
        <v>#N/A</v>
      </c>
      <c r="AS610" s="64" t="e">
        <f t="shared" si="88"/>
        <v>#N/A</v>
      </c>
    </row>
    <row r="611" spans="1:45" s="64" customFormat="1" ht="36" customHeight="1" x14ac:dyDescent="0.9">
      <c r="A611" s="64">
        <v>1</v>
      </c>
      <c r="B611" s="92">
        <f>SUBTOTAL(103,$A$548:A611)</f>
        <v>64</v>
      </c>
      <c r="C611" s="91" t="s">
        <v>1147</v>
      </c>
      <c r="D611" s="126" t="s">
        <v>376</v>
      </c>
      <c r="E611" s="126"/>
      <c r="F611" s="145" t="s">
        <v>273</v>
      </c>
      <c r="G611" s="126" t="s">
        <v>316</v>
      </c>
      <c r="H611" s="126" t="s">
        <v>311</v>
      </c>
      <c r="I611" s="117">
        <v>1346.5</v>
      </c>
      <c r="J611" s="117">
        <v>1245.7</v>
      </c>
      <c r="K611" s="117">
        <v>1118.8</v>
      </c>
      <c r="L611" s="127">
        <v>62</v>
      </c>
      <c r="M611" s="126" t="s">
        <v>271</v>
      </c>
      <c r="N611" s="126" t="s">
        <v>275</v>
      </c>
      <c r="O611" s="124" t="s">
        <v>1695</v>
      </c>
      <c r="P611" s="118">
        <v>2696648.14</v>
      </c>
      <c r="Q611" s="118">
        <v>0</v>
      </c>
      <c r="R611" s="118">
        <v>0</v>
      </c>
      <c r="S611" s="118">
        <f t="shared" si="80"/>
        <v>2696648.14</v>
      </c>
      <c r="T611" s="118">
        <f t="shared" si="82"/>
        <v>2002.7093501671</v>
      </c>
      <c r="U611" s="118">
        <f>T611</f>
        <v>2002.7093501671</v>
      </c>
      <c r="V611" s="183">
        <f t="shared" si="84"/>
        <v>0</v>
      </c>
      <c r="W611" s="183"/>
      <c r="X611" s="183"/>
      <c r="Y611" s="64">
        <f t="shared" si="85"/>
        <v>1758.3097809134795</v>
      </c>
      <c r="AA611" s="64">
        <f t="shared" si="86"/>
        <v>453.4</v>
      </c>
      <c r="AC611" s="64" t="s">
        <v>182</v>
      </c>
      <c r="AD611" s="64">
        <v>630</v>
      </c>
      <c r="AH611" s="64" t="e">
        <f t="shared" si="87"/>
        <v>#N/A</v>
      </c>
      <c r="AS611" s="64" t="e">
        <f t="shared" si="88"/>
        <v>#N/A</v>
      </c>
    </row>
    <row r="612" spans="1:45" s="64" customFormat="1" ht="36" customHeight="1" x14ac:dyDescent="0.9">
      <c r="A612" s="64">
        <v>1</v>
      </c>
      <c r="B612" s="92">
        <f>SUBTOTAL(103,$A$548:A612)</f>
        <v>65</v>
      </c>
      <c r="C612" s="91" t="s">
        <v>1148</v>
      </c>
      <c r="D612" s="126">
        <v>1960</v>
      </c>
      <c r="E612" s="126"/>
      <c r="F612" s="145" t="s">
        <v>273</v>
      </c>
      <c r="G612" s="126">
        <v>3</v>
      </c>
      <c r="H612" s="126">
        <v>2</v>
      </c>
      <c r="I612" s="117">
        <v>979.2</v>
      </c>
      <c r="J612" s="117">
        <v>969.7</v>
      </c>
      <c r="K612" s="117">
        <v>929.8</v>
      </c>
      <c r="L612" s="127">
        <v>31</v>
      </c>
      <c r="M612" s="126" t="s">
        <v>271</v>
      </c>
      <c r="N612" s="126" t="s">
        <v>275</v>
      </c>
      <c r="O612" s="124" t="s">
        <v>1416</v>
      </c>
      <c r="P612" s="118">
        <v>1772415.75</v>
      </c>
      <c r="Q612" s="118">
        <v>0</v>
      </c>
      <c r="R612" s="118">
        <v>0</v>
      </c>
      <c r="S612" s="118">
        <f t="shared" ref="S612:S675" si="89">P612-Q612-R612</f>
        <v>1772415.75</v>
      </c>
      <c r="T612" s="118">
        <f t="shared" si="82"/>
        <v>1810.0651041666665</v>
      </c>
      <c r="U612" s="118">
        <f>Y612</f>
        <v>2794.2389338235294</v>
      </c>
      <c r="V612" s="183">
        <f t="shared" si="84"/>
        <v>984.17382965686284</v>
      </c>
      <c r="W612" s="183"/>
      <c r="X612" s="183"/>
      <c r="Y612" s="64">
        <f t="shared" si="85"/>
        <v>2794.2389338235294</v>
      </c>
      <c r="AA612" s="64">
        <f t="shared" si="86"/>
        <v>523.98</v>
      </c>
      <c r="AC612" s="64" t="s">
        <v>187</v>
      </c>
      <c r="AD612" s="64">
        <v>260</v>
      </c>
      <c r="AH612" s="64" t="e">
        <f t="shared" si="87"/>
        <v>#N/A</v>
      </c>
      <c r="AS612" s="64" t="e">
        <f t="shared" si="88"/>
        <v>#N/A</v>
      </c>
    </row>
    <row r="613" spans="1:45" s="64" customFormat="1" ht="36" customHeight="1" x14ac:dyDescent="0.9">
      <c r="A613" s="64">
        <v>1</v>
      </c>
      <c r="B613" s="92">
        <f>SUBTOTAL(103,$A$548:A613)</f>
        <v>66</v>
      </c>
      <c r="C613" s="91" t="s">
        <v>1149</v>
      </c>
      <c r="D613" s="126">
        <v>1991</v>
      </c>
      <c r="E613" s="126">
        <v>2016</v>
      </c>
      <c r="F613" s="145" t="s">
        <v>1351</v>
      </c>
      <c r="G613" s="126">
        <v>13</v>
      </c>
      <c r="H613" s="126">
        <v>1</v>
      </c>
      <c r="I613" s="117">
        <v>4135.3</v>
      </c>
      <c r="J613" s="117">
        <v>3928.9</v>
      </c>
      <c r="K613" s="117">
        <v>3680.79</v>
      </c>
      <c r="L613" s="127">
        <v>225</v>
      </c>
      <c r="M613" s="126" t="s">
        <v>271</v>
      </c>
      <c r="N613" s="126" t="s">
        <v>275</v>
      </c>
      <c r="O613" s="124" t="s">
        <v>1415</v>
      </c>
      <c r="P613" s="118">
        <v>3815414.32</v>
      </c>
      <c r="Q613" s="118">
        <v>0</v>
      </c>
      <c r="R613" s="118">
        <v>0</v>
      </c>
      <c r="S613" s="118">
        <f t="shared" si="89"/>
        <v>3815414.32</v>
      </c>
      <c r="T613" s="118">
        <f t="shared" si="82"/>
        <v>922.64510918192138</v>
      </c>
      <c r="U613" s="118">
        <f>AG613</f>
        <v>2188.8142635343224</v>
      </c>
      <c r="V613" s="183">
        <f t="shared" si="84"/>
        <v>1266.1691543524012</v>
      </c>
      <c r="W613" s="183"/>
      <c r="X613" s="183"/>
      <c r="Y613" s="64" t="e">
        <f t="shared" si="85"/>
        <v>#N/A</v>
      </c>
      <c r="AA613" s="64" t="e">
        <f t="shared" si="86"/>
        <v>#N/A</v>
      </c>
      <c r="AC613" s="64" t="s">
        <v>184</v>
      </c>
      <c r="AD613" s="64">
        <v>283</v>
      </c>
      <c r="AG613" s="64">
        <f>AH613*6191.24/J613</f>
        <v>2188.8142635343224</v>
      </c>
      <c r="AH613" s="64">
        <f t="shared" si="87"/>
        <v>1389</v>
      </c>
      <c r="AS613" s="64" t="e">
        <f t="shared" si="88"/>
        <v>#N/A</v>
      </c>
    </row>
    <row r="614" spans="1:45" s="64" customFormat="1" ht="36" customHeight="1" x14ac:dyDescent="0.9">
      <c r="A614" s="64">
        <v>1</v>
      </c>
      <c r="B614" s="92">
        <f>SUBTOTAL(103,$A$548:A614)</f>
        <v>67</v>
      </c>
      <c r="C614" s="91" t="s">
        <v>1150</v>
      </c>
      <c r="D614" s="126">
        <v>1962</v>
      </c>
      <c r="E614" s="126"/>
      <c r="F614" s="145" t="s">
        <v>273</v>
      </c>
      <c r="G614" s="126">
        <v>5</v>
      </c>
      <c r="H614" s="126">
        <v>4</v>
      </c>
      <c r="I614" s="117">
        <v>3154</v>
      </c>
      <c r="J614" s="117">
        <v>3012.3</v>
      </c>
      <c r="K614" s="117">
        <v>2941.4</v>
      </c>
      <c r="L614" s="127">
        <v>175</v>
      </c>
      <c r="M614" s="126" t="s">
        <v>271</v>
      </c>
      <c r="N614" s="126" t="s">
        <v>275</v>
      </c>
      <c r="O614" s="124" t="s">
        <v>1354</v>
      </c>
      <c r="P614" s="118">
        <v>3246745.9499999997</v>
      </c>
      <c r="Q614" s="118">
        <v>0</v>
      </c>
      <c r="R614" s="118">
        <v>0</v>
      </c>
      <c r="S614" s="118">
        <f t="shared" si="89"/>
        <v>3246745.9499999997</v>
      </c>
      <c r="T614" s="118">
        <f t="shared" si="82"/>
        <v>1029.4058180088775</v>
      </c>
      <c r="U614" s="118">
        <f>Y614</f>
        <v>1809.5838300570706</v>
      </c>
      <c r="V614" s="183">
        <f t="shared" si="84"/>
        <v>780.17801204819307</v>
      </c>
      <c r="W614" s="183"/>
      <c r="X614" s="183"/>
      <c r="Y614" s="64">
        <f t="shared" si="85"/>
        <v>1809.5838300570706</v>
      </c>
      <c r="AA614" s="64">
        <f t="shared" si="86"/>
        <v>1093</v>
      </c>
      <c r="AC614" s="64" t="s">
        <v>185</v>
      </c>
      <c r="AD614" s="64">
        <v>230</v>
      </c>
      <c r="AH614" s="64" t="e">
        <f t="shared" si="87"/>
        <v>#N/A</v>
      </c>
      <c r="AS614" s="64" t="e">
        <f t="shared" si="88"/>
        <v>#N/A</v>
      </c>
    </row>
    <row r="615" spans="1:45" s="64" customFormat="1" ht="36" customHeight="1" x14ac:dyDescent="0.9">
      <c r="A615" s="64">
        <v>1</v>
      </c>
      <c r="B615" s="92">
        <f>SUBTOTAL(103,$A$548:A615)</f>
        <v>68</v>
      </c>
      <c r="C615" s="91" t="s">
        <v>1151</v>
      </c>
      <c r="D615" s="126">
        <v>1962</v>
      </c>
      <c r="E615" s="126"/>
      <c r="F615" s="145" t="s">
        <v>273</v>
      </c>
      <c r="G615" s="126">
        <v>4</v>
      </c>
      <c r="H615" s="126">
        <v>3</v>
      </c>
      <c r="I615" s="117">
        <v>2680.2</v>
      </c>
      <c r="J615" s="117">
        <v>1990.4</v>
      </c>
      <c r="K615" s="117">
        <v>1918.2</v>
      </c>
      <c r="L615" s="127">
        <v>88</v>
      </c>
      <c r="M615" s="126" t="s">
        <v>271</v>
      </c>
      <c r="N615" s="126" t="s">
        <v>275</v>
      </c>
      <c r="O615" s="124" t="s">
        <v>1695</v>
      </c>
      <c r="P615" s="118">
        <v>3669425.82</v>
      </c>
      <c r="Q615" s="118">
        <v>0</v>
      </c>
      <c r="R615" s="118">
        <v>0</v>
      </c>
      <c r="S615" s="118">
        <f t="shared" si="89"/>
        <v>3669425.82</v>
      </c>
      <c r="T615" s="118">
        <f t="shared" si="82"/>
        <v>1369.0865681665548</v>
      </c>
      <c r="U615" s="118">
        <f>AG615</f>
        <v>5532.1143187299031</v>
      </c>
      <c r="V615" s="183">
        <f t="shared" si="84"/>
        <v>4163.0277505633485</v>
      </c>
      <c r="W615" s="183"/>
      <c r="X615" s="183"/>
      <c r="Y615" s="64" t="e">
        <f t="shared" si="85"/>
        <v>#N/A</v>
      </c>
      <c r="AA615" s="64" t="e">
        <f t="shared" si="86"/>
        <v>#N/A</v>
      </c>
      <c r="AC615" s="64" t="s">
        <v>181</v>
      </c>
      <c r="AD615" s="64">
        <v>242</v>
      </c>
      <c r="AG615" s="64">
        <f>AH615*6191.24/J615</f>
        <v>5532.1143187299031</v>
      </c>
      <c r="AH615" s="64">
        <f t="shared" si="87"/>
        <v>1778.5</v>
      </c>
      <c r="AS615" s="64" t="e">
        <f t="shared" si="88"/>
        <v>#N/A</v>
      </c>
    </row>
    <row r="616" spans="1:45" s="64" customFormat="1" ht="36" customHeight="1" x14ac:dyDescent="0.9">
      <c r="A616" s="64">
        <v>1</v>
      </c>
      <c r="B616" s="92">
        <f>SUBTOTAL(103,$A$548:A616)</f>
        <v>69</v>
      </c>
      <c r="C616" s="91" t="s">
        <v>1161</v>
      </c>
      <c r="D616" s="126">
        <v>1962</v>
      </c>
      <c r="E616" s="126"/>
      <c r="F616" s="145" t="s">
        <v>273</v>
      </c>
      <c r="G616" s="126">
        <v>2</v>
      </c>
      <c r="H616" s="126">
        <v>2</v>
      </c>
      <c r="I616" s="117">
        <v>628.29999999999995</v>
      </c>
      <c r="J616" s="117">
        <v>414.2</v>
      </c>
      <c r="K616" s="117">
        <v>414.2</v>
      </c>
      <c r="L616" s="127">
        <v>40</v>
      </c>
      <c r="M616" s="126" t="s">
        <v>271</v>
      </c>
      <c r="N616" s="126" t="s">
        <v>272</v>
      </c>
      <c r="O616" s="124" t="s">
        <v>1353</v>
      </c>
      <c r="P616" s="118">
        <v>2273804.56</v>
      </c>
      <c r="Q616" s="118">
        <v>0</v>
      </c>
      <c r="R616" s="118">
        <v>0</v>
      </c>
      <c r="S616" s="118">
        <f t="shared" si="89"/>
        <v>2273804.56</v>
      </c>
      <c r="T616" s="118">
        <f t="shared" si="82"/>
        <v>3618.9790864236834</v>
      </c>
      <c r="U616" s="118">
        <f>Y616</f>
        <v>4516.1962756644916</v>
      </c>
      <c r="V616" s="183">
        <f t="shared" si="84"/>
        <v>897.21718924080824</v>
      </c>
      <c r="W616" s="183"/>
      <c r="X616" s="183"/>
      <c r="Y616" s="64">
        <f t="shared" si="85"/>
        <v>4516.1962756644916</v>
      </c>
      <c r="AA616" s="64">
        <f t="shared" si="86"/>
        <v>543.4</v>
      </c>
      <c r="AC616" s="64" t="s">
        <v>818</v>
      </c>
      <c r="AD616" s="64">
        <v>280</v>
      </c>
      <c r="AH616" s="64" t="e">
        <f t="shared" si="87"/>
        <v>#N/A</v>
      </c>
      <c r="AS616" s="64" t="e">
        <f t="shared" si="88"/>
        <v>#N/A</v>
      </c>
    </row>
    <row r="617" spans="1:45" s="64" customFormat="1" ht="36" customHeight="1" x14ac:dyDescent="0.9">
      <c r="A617" s="64">
        <v>1</v>
      </c>
      <c r="B617" s="92">
        <f>SUBTOTAL(103,$A$548:A617)</f>
        <v>70</v>
      </c>
      <c r="C617" s="91" t="s">
        <v>1162</v>
      </c>
      <c r="D617" s="126">
        <v>1964</v>
      </c>
      <c r="E617" s="126"/>
      <c r="F617" s="145" t="s">
        <v>273</v>
      </c>
      <c r="G617" s="126">
        <v>2</v>
      </c>
      <c r="H617" s="126">
        <v>2</v>
      </c>
      <c r="I617" s="117">
        <v>616.20000000000005</v>
      </c>
      <c r="J617" s="117">
        <v>614</v>
      </c>
      <c r="K617" s="117">
        <v>614</v>
      </c>
      <c r="L617" s="127">
        <v>40</v>
      </c>
      <c r="M617" s="126" t="s">
        <v>271</v>
      </c>
      <c r="N617" s="126" t="s">
        <v>275</v>
      </c>
      <c r="O617" s="124" t="s">
        <v>1353</v>
      </c>
      <c r="P617" s="118">
        <v>2765824.94</v>
      </c>
      <c r="Q617" s="118">
        <v>0</v>
      </c>
      <c r="R617" s="118">
        <v>0</v>
      </c>
      <c r="S617" s="118">
        <f t="shared" si="89"/>
        <v>2765824.94</v>
      </c>
      <c r="T617" s="118">
        <f t="shared" si="82"/>
        <v>4488.5182408308983</v>
      </c>
      <c r="U617" s="118">
        <f>Y617</f>
        <v>5635.3407984420637</v>
      </c>
      <c r="V617" s="183">
        <f t="shared" si="84"/>
        <v>1146.8225576111654</v>
      </c>
      <c r="W617" s="183"/>
      <c r="X617" s="183"/>
      <c r="Y617" s="64">
        <f t="shared" si="85"/>
        <v>5635.3407984420637</v>
      </c>
      <c r="AA617" s="64">
        <f t="shared" si="86"/>
        <v>665</v>
      </c>
      <c r="AC617" s="64" t="s">
        <v>86</v>
      </c>
      <c r="AD617" s="64">
        <v>650</v>
      </c>
      <c r="AH617" s="64" t="e">
        <f t="shared" si="87"/>
        <v>#N/A</v>
      </c>
      <c r="AS617" s="64" t="e">
        <f t="shared" si="88"/>
        <v>#N/A</v>
      </c>
    </row>
    <row r="618" spans="1:45" s="64" customFormat="1" ht="36" customHeight="1" x14ac:dyDescent="0.9">
      <c r="A618" s="64">
        <v>1</v>
      </c>
      <c r="B618" s="92">
        <f>SUBTOTAL(103,$A$548:A618)</f>
        <v>71</v>
      </c>
      <c r="C618" s="91" t="s">
        <v>1637</v>
      </c>
      <c r="D618" s="126">
        <v>1964</v>
      </c>
      <c r="E618" s="126"/>
      <c r="F618" s="145" t="s">
        <v>273</v>
      </c>
      <c r="G618" s="126">
        <v>5</v>
      </c>
      <c r="H618" s="126">
        <v>4</v>
      </c>
      <c r="I618" s="117">
        <v>3338.7</v>
      </c>
      <c r="J618" s="117">
        <v>3322.3</v>
      </c>
      <c r="K618" s="117">
        <v>3136.7</v>
      </c>
      <c r="L618" s="127">
        <v>205</v>
      </c>
      <c r="M618" s="126" t="s">
        <v>271</v>
      </c>
      <c r="N618" s="126" t="s">
        <v>275</v>
      </c>
      <c r="O618" s="124" t="s">
        <v>1413</v>
      </c>
      <c r="P618" s="118">
        <v>2292500.0499999998</v>
      </c>
      <c r="Q618" s="118">
        <v>0</v>
      </c>
      <c r="R618" s="118">
        <v>0</v>
      </c>
      <c r="S618" s="118">
        <f t="shared" si="89"/>
        <v>2292500.0499999998</v>
      </c>
      <c r="T618" s="118">
        <f t="shared" si="82"/>
        <v>686.64451732710336</v>
      </c>
      <c r="U618" s="118">
        <f>AG618</f>
        <v>1565.3738675014295</v>
      </c>
      <c r="V618" s="183">
        <f t="shared" si="84"/>
        <v>878.7293501743261</v>
      </c>
      <c r="W618" s="183"/>
      <c r="X618" s="183"/>
      <c r="Y618" s="64" t="e">
        <f t="shared" si="85"/>
        <v>#N/A</v>
      </c>
      <c r="AA618" s="64" t="e">
        <f t="shared" si="86"/>
        <v>#N/A</v>
      </c>
      <c r="AC618" s="64" t="s">
        <v>87</v>
      </c>
      <c r="AD618" s="64">
        <v>565</v>
      </c>
      <c r="AG618" s="64">
        <f>AH618*6191.24/J618</f>
        <v>1565.3738675014295</v>
      </c>
      <c r="AH618" s="64">
        <f t="shared" si="87"/>
        <v>840</v>
      </c>
      <c r="AS618" s="64" t="e">
        <f t="shared" si="88"/>
        <v>#N/A</v>
      </c>
    </row>
    <row r="619" spans="1:45" s="64" customFormat="1" ht="36" customHeight="1" x14ac:dyDescent="0.9">
      <c r="A619" s="64">
        <v>1</v>
      </c>
      <c r="B619" s="92">
        <f>SUBTOTAL(103,$A$548:A619)</f>
        <v>72</v>
      </c>
      <c r="C619" s="91" t="s">
        <v>1667</v>
      </c>
      <c r="D619" s="126">
        <v>1966</v>
      </c>
      <c r="E619" s="126"/>
      <c r="F619" s="145" t="s">
        <v>319</v>
      </c>
      <c r="G619" s="126">
        <v>5</v>
      </c>
      <c r="H619" s="126">
        <v>4</v>
      </c>
      <c r="I619" s="117">
        <v>4619.5</v>
      </c>
      <c r="J619" s="117">
        <v>3551.3</v>
      </c>
      <c r="K619" s="117">
        <v>3365.6</v>
      </c>
      <c r="L619" s="127">
        <v>200</v>
      </c>
      <c r="M619" s="126" t="s">
        <v>271</v>
      </c>
      <c r="N619" s="126" t="s">
        <v>275</v>
      </c>
      <c r="O619" s="124" t="s">
        <v>1102</v>
      </c>
      <c r="P619" s="118">
        <v>3926550</v>
      </c>
      <c r="Q619" s="118">
        <v>0</v>
      </c>
      <c r="R619" s="118">
        <v>0</v>
      </c>
      <c r="S619" s="118">
        <f t="shared" si="89"/>
        <v>3926550</v>
      </c>
      <c r="T619" s="118">
        <f t="shared" si="82"/>
        <v>849.9945881588917</v>
      </c>
      <c r="U619" s="118">
        <f>Y619</f>
        <v>1017.3438683840243</v>
      </c>
      <c r="V619" s="183">
        <f t="shared" si="84"/>
        <v>167.34928022513259</v>
      </c>
      <c r="W619" s="183"/>
      <c r="X619" s="183"/>
      <c r="Y619" s="64">
        <f t="shared" si="85"/>
        <v>1017.3438683840243</v>
      </c>
      <c r="AA619" s="64">
        <f t="shared" si="86"/>
        <v>900</v>
      </c>
      <c r="AC619" s="64" t="s">
        <v>85</v>
      </c>
      <c r="AD619" s="64">
        <v>610</v>
      </c>
      <c r="AH619" s="64" t="e">
        <f t="shared" si="87"/>
        <v>#N/A</v>
      </c>
      <c r="AS619" s="64" t="e">
        <f t="shared" si="88"/>
        <v>#N/A</v>
      </c>
    </row>
    <row r="620" spans="1:45" s="64" customFormat="1" ht="36" customHeight="1" x14ac:dyDescent="0.9">
      <c r="A620" s="64">
        <v>1</v>
      </c>
      <c r="B620" s="92">
        <f>SUBTOTAL(103,$A$548:A620)</f>
        <v>73</v>
      </c>
      <c r="C620" s="91" t="s">
        <v>1668</v>
      </c>
      <c r="D620" s="126">
        <v>1961</v>
      </c>
      <c r="E620" s="126"/>
      <c r="F620" s="145" t="s">
        <v>273</v>
      </c>
      <c r="G620" s="126">
        <v>3</v>
      </c>
      <c r="H620" s="126">
        <v>3</v>
      </c>
      <c r="I620" s="117">
        <v>2155.9</v>
      </c>
      <c r="J620" s="117">
        <v>1519.5</v>
      </c>
      <c r="K620" s="117">
        <v>1386.6</v>
      </c>
      <c r="L620" s="127">
        <v>85</v>
      </c>
      <c r="M620" s="126" t="s">
        <v>271</v>
      </c>
      <c r="N620" s="126" t="s">
        <v>275</v>
      </c>
      <c r="O620" s="124" t="s">
        <v>1700</v>
      </c>
      <c r="P620" s="118">
        <v>3767934.93</v>
      </c>
      <c r="Q620" s="118">
        <v>0</v>
      </c>
      <c r="R620" s="118">
        <v>0</v>
      </c>
      <c r="S620" s="118">
        <f t="shared" si="89"/>
        <v>3767934.93</v>
      </c>
      <c r="T620" s="118">
        <f t="shared" si="82"/>
        <v>1747.7317732733429</v>
      </c>
      <c r="U620" s="118">
        <f>Y620</f>
        <v>2010.3409249037525</v>
      </c>
      <c r="V620" s="183">
        <f t="shared" si="84"/>
        <v>262.60915163040954</v>
      </c>
      <c r="W620" s="183"/>
      <c r="X620" s="183"/>
      <c r="Y620" s="64">
        <f t="shared" si="85"/>
        <v>2010.3409249037525</v>
      </c>
      <c r="AA620" s="64">
        <f t="shared" si="86"/>
        <v>830</v>
      </c>
      <c r="AC620" s="64" t="s">
        <v>89</v>
      </c>
      <c r="AD620" s="64">
        <v>586</v>
      </c>
      <c r="AH620" s="64" t="e">
        <f t="shared" si="87"/>
        <v>#N/A</v>
      </c>
      <c r="AS620" s="64" t="e">
        <f t="shared" si="88"/>
        <v>#N/A</v>
      </c>
    </row>
    <row r="621" spans="1:45" s="64" customFormat="1" ht="36" customHeight="1" x14ac:dyDescent="0.9">
      <c r="A621" s="64">
        <v>1</v>
      </c>
      <c r="B621" s="92">
        <f>SUBTOTAL(103,$A$548:A621)</f>
        <v>74</v>
      </c>
      <c r="C621" s="91" t="s">
        <v>1669</v>
      </c>
      <c r="D621" s="126">
        <v>1959</v>
      </c>
      <c r="E621" s="126"/>
      <c r="F621" s="145" t="s">
        <v>273</v>
      </c>
      <c r="G621" s="126">
        <v>3</v>
      </c>
      <c r="H621" s="126">
        <v>3</v>
      </c>
      <c r="I621" s="117">
        <v>1249.9000000000001</v>
      </c>
      <c r="J621" s="117">
        <v>1149.9000000000001</v>
      </c>
      <c r="K621" s="117">
        <v>1149.9000000000001</v>
      </c>
      <c r="L621" s="127">
        <v>89</v>
      </c>
      <c r="M621" s="126" t="s">
        <v>271</v>
      </c>
      <c r="N621" s="126" t="s">
        <v>275</v>
      </c>
      <c r="O621" s="124" t="s">
        <v>1427</v>
      </c>
      <c r="P621" s="118">
        <v>3158283.01</v>
      </c>
      <c r="Q621" s="118">
        <v>0</v>
      </c>
      <c r="R621" s="118">
        <v>0</v>
      </c>
      <c r="S621" s="118">
        <f t="shared" si="89"/>
        <v>3158283.01</v>
      </c>
      <c r="T621" s="118">
        <f t="shared" si="82"/>
        <v>2526.8285542843423</v>
      </c>
      <c r="U621" s="118">
        <f>AG621</f>
        <v>7231.9971893208103</v>
      </c>
      <c r="V621" s="183">
        <f t="shared" si="84"/>
        <v>4705.168635036468</v>
      </c>
      <c r="W621" s="183"/>
      <c r="X621" s="183"/>
      <c r="Y621" s="64" t="e">
        <f t="shared" si="85"/>
        <v>#N/A</v>
      </c>
      <c r="AA621" s="64" t="e">
        <f t="shared" si="86"/>
        <v>#N/A</v>
      </c>
      <c r="AC621" s="64" t="s">
        <v>88</v>
      </c>
      <c r="AD621" s="64">
        <v>390</v>
      </c>
      <c r="AG621" s="64">
        <f>AH621*6191.24/J621</f>
        <v>7231.9971893208103</v>
      </c>
      <c r="AH621" s="64">
        <f t="shared" si="87"/>
        <v>1343.2</v>
      </c>
      <c r="AS621" s="64" t="e">
        <f t="shared" si="88"/>
        <v>#N/A</v>
      </c>
    </row>
    <row r="622" spans="1:45" s="64" customFormat="1" ht="36" customHeight="1" x14ac:dyDescent="0.9">
      <c r="A622" s="64">
        <v>1</v>
      </c>
      <c r="B622" s="92">
        <f>SUBTOTAL(103,$A$548:A622)</f>
        <v>75</v>
      </c>
      <c r="C622" s="91" t="s">
        <v>580</v>
      </c>
      <c r="D622" s="97">
        <v>1958</v>
      </c>
      <c r="E622" s="126"/>
      <c r="F622" s="145" t="s">
        <v>273</v>
      </c>
      <c r="G622" s="126">
        <v>2</v>
      </c>
      <c r="H622" s="126">
        <v>2</v>
      </c>
      <c r="I622" s="117">
        <v>593.5</v>
      </c>
      <c r="J622" s="117">
        <v>548.79999999999995</v>
      </c>
      <c r="K622" s="117">
        <v>511.1</v>
      </c>
      <c r="L622" s="127">
        <v>26</v>
      </c>
      <c r="M622" s="126" t="s">
        <v>271</v>
      </c>
      <c r="N622" s="126" t="s">
        <v>275</v>
      </c>
      <c r="O622" s="124" t="s">
        <v>1413</v>
      </c>
      <c r="P622" s="118">
        <v>80000</v>
      </c>
      <c r="Q622" s="118">
        <v>0</v>
      </c>
      <c r="R622" s="118">
        <v>0</v>
      </c>
      <c r="S622" s="118">
        <f t="shared" si="89"/>
        <v>80000</v>
      </c>
      <c r="T622" s="118">
        <f t="shared" si="82"/>
        <v>134.79359730412804</v>
      </c>
      <c r="U622" s="118">
        <f t="shared" ref="U622:U680" si="90">T622</f>
        <v>134.79359730412804</v>
      </c>
      <c r="V622" s="183">
        <f t="shared" si="84"/>
        <v>0</v>
      </c>
      <c r="W622" s="183"/>
      <c r="X622" s="183"/>
      <c r="Y622" s="64">
        <f t="shared" si="85"/>
        <v>6475.5598989048021</v>
      </c>
      <c r="AA622" s="64">
        <f t="shared" si="86"/>
        <v>736</v>
      </c>
      <c r="AC622" s="64" t="s">
        <v>109</v>
      </c>
      <c r="AD622" s="64">
        <v>688</v>
      </c>
      <c r="AH622" s="64" t="e">
        <f t="shared" si="87"/>
        <v>#N/A</v>
      </c>
      <c r="AS622" s="64" t="e">
        <f t="shared" si="88"/>
        <v>#N/A</v>
      </c>
    </row>
    <row r="623" spans="1:45" s="64" customFormat="1" ht="36" customHeight="1" x14ac:dyDescent="0.9">
      <c r="A623" s="64">
        <v>1</v>
      </c>
      <c r="B623" s="92">
        <f>SUBTOTAL(103,$A$548:A623)</f>
        <v>76</v>
      </c>
      <c r="C623" s="91" t="s">
        <v>581</v>
      </c>
      <c r="D623" s="97" t="s">
        <v>317</v>
      </c>
      <c r="E623" s="126"/>
      <c r="F623" s="145" t="s">
        <v>273</v>
      </c>
      <c r="G623" s="126" t="s">
        <v>360</v>
      </c>
      <c r="H623" s="126">
        <v>1</v>
      </c>
      <c r="I623" s="117">
        <v>835.6</v>
      </c>
      <c r="J623" s="117">
        <v>606.6</v>
      </c>
      <c r="K623" s="117">
        <v>287.10000000000002</v>
      </c>
      <c r="L623" s="127">
        <v>17</v>
      </c>
      <c r="M623" s="126" t="s">
        <v>271</v>
      </c>
      <c r="N623" s="126" t="s">
        <v>275</v>
      </c>
      <c r="O623" s="124" t="s">
        <v>1702</v>
      </c>
      <c r="P623" s="118">
        <v>70000</v>
      </c>
      <c r="Q623" s="118">
        <v>0</v>
      </c>
      <c r="R623" s="118">
        <v>0</v>
      </c>
      <c r="S623" s="118">
        <f t="shared" si="89"/>
        <v>70000</v>
      </c>
      <c r="T623" s="118">
        <f t="shared" si="82"/>
        <v>83.772139779798948</v>
      </c>
      <c r="U623" s="118">
        <f t="shared" si="90"/>
        <v>83.772139779798948</v>
      </c>
      <c r="V623" s="183">
        <f t="shared" si="84"/>
        <v>0</v>
      </c>
      <c r="W623" s="183"/>
      <c r="X623" s="183"/>
      <c r="Y623" s="64">
        <f t="shared" si="85"/>
        <v>1437.3073240785063</v>
      </c>
      <c r="AA623" s="64">
        <f t="shared" si="86"/>
        <v>230</v>
      </c>
      <c r="AC623" s="64" t="s">
        <v>111</v>
      </c>
      <c r="AD623" s="64">
        <v>853</v>
      </c>
      <c r="AH623" s="64" t="e">
        <f t="shared" si="87"/>
        <v>#N/A</v>
      </c>
      <c r="AS623" s="64" t="e">
        <f t="shared" si="88"/>
        <v>#N/A</v>
      </c>
    </row>
    <row r="624" spans="1:45" s="64" customFormat="1" ht="36" customHeight="1" x14ac:dyDescent="0.9">
      <c r="A624" s="64">
        <v>1</v>
      </c>
      <c r="B624" s="92">
        <f>SUBTOTAL(103,$A$548:A624)</f>
        <v>77</v>
      </c>
      <c r="C624" s="91" t="s">
        <v>1096</v>
      </c>
      <c r="D624" s="126">
        <v>1962</v>
      </c>
      <c r="E624" s="126"/>
      <c r="F624" s="145" t="s">
        <v>273</v>
      </c>
      <c r="G624" s="126">
        <v>3</v>
      </c>
      <c r="H624" s="126">
        <v>2</v>
      </c>
      <c r="I624" s="117">
        <v>970.2</v>
      </c>
      <c r="J624" s="117">
        <v>615</v>
      </c>
      <c r="K624" s="117">
        <v>615</v>
      </c>
      <c r="L624" s="127">
        <v>60</v>
      </c>
      <c r="M624" s="126" t="s">
        <v>271</v>
      </c>
      <c r="N624" s="126" t="s">
        <v>275</v>
      </c>
      <c r="O624" s="124" t="s">
        <v>1700</v>
      </c>
      <c r="P624" s="118">
        <v>80000</v>
      </c>
      <c r="Q624" s="118">
        <v>0</v>
      </c>
      <c r="R624" s="118">
        <v>0</v>
      </c>
      <c r="S624" s="118">
        <f t="shared" si="89"/>
        <v>80000</v>
      </c>
      <c r="T624" s="118">
        <f t="shared" si="82"/>
        <v>82.457225314368173</v>
      </c>
      <c r="U624" s="118">
        <f t="shared" si="90"/>
        <v>82.457225314368173</v>
      </c>
      <c r="V624" s="183">
        <f t="shared" si="84"/>
        <v>0</v>
      </c>
      <c r="W624" s="183"/>
      <c r="X624" s="183"/>
      <c r="Y624" s="64">
        <f t="shared" si="85"/>
        <v>2217.4619666048238</v>
      </c>
      <c r="AA624" s="64">
        <f t="shared" si="86"/>
        <v>412</v>
      </c>
      <c r="AC624" s="64" t="s">
        <v>215</v>
      </c>
      <c r="AD624" s="64">
        <v>926.83</v>
      </c>
      <c r="AH624" s="64" t="e">
        <f t="shared" si="87"/>
        <v>#N/A</v>
      </c>
      <c r="AS624" s="64" t="e">
        <f t="shared" si="88"/>
        <v>#N/A</v>
      </c>
    </row>
    <row r="625" spans="1:45" s="64" customFormat="1" ht="36" customHeight="1" x14ac:dyDescent="0.9">
      <c r="A625" s="64">
        <v>1</v>
      </c>
      <c r="B625" s="92">
        <f>SUBTOTAL(103,$A$548:A625)</f>
        <v>78</v>
      </c>
      <c r="C625" s="91" t="s">
        <v>582</v>
      </c>
      <c r="D625" s="126" t="s">
        <v>322</v>
      </c>
      <c r="E625" s="126"/>
      <c r="F625" s="145" t="s">
        <v>319</v>
      </c>
      <c r="G625" s="126" t="s">
        <v>360</v>
      </c>
      <c r="H625" s="126">
        <v>3</v>
      </c>
      <c r="I625" s="117">
        <v>2819.1</v>
      </c>
      <c r="J625" s="117">
        <v>2571.8000000000002</v>
      </c>
      <c r="K625" s="117">
        <v>1698</v>
      </c>
      <c r="L625" s="127">
        <v>109</v>
      </c>
      <c r="M625" s="126" t="s">
        <v>271</v>
      </c>
      <c r="N625" s="126" t="s">
        <v>275</v>
      </c>
      <c r="O625" s="124" t="s">
        <v>1102</v>
      </c>
      <c r="P625" s="118">
        <v>100000</v>
      </c>
      <c r="Q625" s="118">
        <v>0</v>
      </c>
      <c r="R625" s="118">
        <v>0</v>
      </c>
      <c r="S625" s="118">
        <f t="shared" si="89"/>
        <v>100000</v>
      </c>
      <c r="T625" s="118">
        <f t="shared" si="82"/>
        <v>35.472313859033029</v>
      </c>
      <c r="U625" s="118">
        <f t="shared" si="90"/>
        <v>35.472313859033029</v>
      </c>
      <c r="V625" s="183">
        <f t="shared" si="84"/>
        <v>0</v>
      </c>
      <c r="W625" s="183"/>
      <c r="X625" s="183"/>
      <c r="Y625" s="64">
        <f t="shared" si="85"/>
        <v>1337.3557518356922</v>
      </c>
      <c r="AA625" s="64">
        <f t="shared" si="86"/>
        <v>722</v>
      </c>
      <c r="AC625" s="64" t="s">
        <v>66</v>
      </c>
      <c r="AD625" s="64">
        <v>670.8</v>
      </c>
      <c r="AH625" s="64" t="e">
        <f t="shared" si="87"/>
        <v>#N/A</v>
      </c>
      <c r="AS625" s="64" t="e">
        <f t="shared" si="88"/>
        <v>#N/A</v>
      </c>
    </row>
    <row r="626" spans="1:45" s="64" customFormat="1" ht="36" customHeight="1" x14ac:dyDescent="0.9">
      <c r="A626" s="64">
        <v>1</v>
      </c>
      <c r="B626" s="92">
        <f>SUBTOTAL(103,$A$548:A626)</f>
        <v>79</v>
      </c>
      <c r="C626" s="91" t="s">
        <v>583</v>
      </c>
      <c r="D626" s="126" t="s">
        <v>317</v>
      </c>
      <c r="E626" s="126"/>
      <c r="F626" s="145" t="s">
        <v>273</v>
      </c>
      <c r="G626" s="126" t="s">
        <v>366</v>
      </c>
      <c r="H626" s="126">
        <v>1</v>
      </c>
      <c r="I626" s="117">
        <v>3295.9</v>
      </c>
      <c r="J626" s="117">
        <v>2784.3</v>
      </c>
      <c r="K626" s="117">
        <v>2287.3000000000002</v>
      </c>
      <c r="L626" s="127">
        <v>98</v>
      </c>
      <c r="M626" s="126" t="s">
        <v>271</v>
      </c>
      <c r="N626" s="126" t="s">
        <v>275</v>
      </c>
      <c r="O626" s="124" t="s">
        <v>1102</v>
      </c>
      <c r="P626" s="118">
        <v>70000</v>
      </c>
      <c r="Q626" s="118">
        <v>0</v>
      </c>
      <c r="R626" s="118">
        <v>0</v>
      </c>
      <c r="S626" s="118">
        <f t="shared" si="89"/>
        <v>70000</v>
      </c>
      <c r="T626" s="118">
        <f t="shared" si="82"/>
        <v>21.23850844989229</v>
      </c>
      <c r="U626" s="118">
        <f t="shared" si="90"/>
        <v>21.23850844989229</v>
      </c>
      <c r="V626" s="183">
        <f t="shared" si="84"/>
        <v>0</v>
      </c>
      <c r="W626" s="183"/>
      <c r="X626" s="183"/>
      <c r="Y626" s="64">
        <f t="shared" si="85"/>
        <v>556.10054916714705</v>
      </c>
      <c r="AA626" s="64">
        <f t="shared" si="86"/>
        <v>351</v>
      </c>
      <c r="AC626" s="64" t="s">
        <v>69</v>
      </c>
      <c r="AD626" s="64">
        <v>1047.5999999999999</v>
      </c>
      <c r="AH626" s="64" t="e">
        <f t="shared" si="87"/>
        <v>#N/A</v>
      </c>
      <c r="AS626" s="64" t="e">
        <f t="shared" si="88"/>
        <v>#N/A</v>
      </c>
    </row>
    <row r="627" spans="1:45" s="64" customFormat="1" ht="36" customHeight="1" x14ac:dyDescent="0.9">
      <c r="A627" s="64">
        <v>1</v>
      </c>
      <c r="B627" s="92">
        <f>SUBTOTAL(103,$A$548:A627)</f>
        <v>80</v>
      </c>
      <c r="C627" s="91" t="s">
        <v>584</v>
      </c>
      <c r="D627" s="126" t="s">
        <v>322</v>
      </c>
      <c r="E627" s="126"/>
      <c r="F627" s="145" t="s">
        <v>319</v>
      </c>
      <c r="G627" s="126" t="s">
        <v>360</v>
      </c>
      <c r="H627" s="126">
        <v>5</v>
      </c>
      <c r="I627" s="117">
        <v>5771.6</v>
      </c>
      <c r="J627" s="117">
        <v>4780.3999999999996</v>
      </c>
      <c r="K627" s="117">
        <v>4455.8999999999996</v>
      </c>
      <c r="L627" s="127">
        <v>241</v>
      </c>
      <c r="M627" s="126" t="s">
        <v>271</v>
      </c>
      <c r="N627" s="126" t="s">
        <v>275</v>
      </c>
      <c r="O627" s="124" t="s">
        <v>1102</v>
      </c>
      <c r="P627" s="118">
        <v>100000</v>
      </c>
      <c r="Q627" s="118">
        <v>0</v>
      </c>
      <c r="R627" s="118">
        <v>0</v>
      </c>
      <c r="S627" s="118">
        <f t="shared" si="89"/>
        <v>100000</v>
      </c>
      <c r="T627" s="118">
        <f t="shared" si="82"/>
        <v>17.326218033127727</v>
      </c>
      <c r="U627" s="118">
        <f t="shared" si="90"/>
        <v>17.326218033127727</v>
      </c>
      <c r="V627" s="183">
        <f t="shared" si="84"/>
        <v>0</v>
      </c>
      <c r="W627" s="183"/>
      <c r="X627" s="183"/>
      <c r="Y627" s="64">
        <f t="shared" si="85"/>
        <v>1085.6885439046364</v>
      </c>
      <c r="AA627" s="64">
        <f t="shared" si="86"/>
        <v>1200</v>
      </c>
      <c r="AC627" s="64" t="s">
        <v>68</v>
      </c>
      <c r="AD627" s="64">
        <v>1238.9000000000001</v>
      </c>
      <c r="AH627" s="64" t="e">
        <f t="shared" si="87"/>
        <v>#N/A</v>
      </c>
      <c r="AS627" s="64" t="e">
        <f t="shared" si="88"/>
        <v>#N/A</v>
      </c>
    </row>
    <row r="628" spans="1:45" s="64" customFormat="1" ht="36" customHeight="1" x14ac:dyDescent="0.9">
      <c r="A628" s="64">
        <v>1</v>
      </c>
      <c r="B628" s="92">
        <f>SUBTOTAL(103,$A$548:A628)</f>
        <v>81</v>
      </c>
      <c r="C628" s="91" t="s">
        <v>585</v>
      </c>
      <c r="D628" s="126" t="s">
        <v>361</v>
      </c>
      <c r="E628" s="126"/>
      <c r="F628" s="145" t="s">
        <v>273</v>
      </c>
      <c r="G628" s="126" t="s">
        <v>366</v>
      </c>
      <c r="H628" s="126">
        <v>1</v>
      </c>
      <c r="I628" s="117">
        <v>2826.2</v>
      </c>
      <c r="J628" s="117">
        <v>2772.3</v>
      </c>
      <c r="K628" s="117">
        <v>1324.2</v>
      </c>
      <c r="L628" s="127">
        <v>97</v>
      </c>
      <c r="M628" s="126" t="s">
        <v>271</v>
      </c>
      <c r="N628" s="126" t="s">
        <v>275</v>
      </c>
      <c r="O628" s="124" t="s">
        <v>1102</v>
      </c>
      <c r="P628" s="118">
        <v>100000</v>
      </c>
      <c r="Q628" s="118">
        <v>0</v>
      </c>
      <c r="R628" s="118">
        <v>0</v>
      </c>
      <c r="S628" s="118">
        <f t="shared" si="89"/>
        <v>100000</v>
      </c>
      <c r="T628" s="118">
        <f t="shared" si="82"/>
        <v>35.38320005661312</v>
      </c>
      <c r="U628" s="118">
        <f t="shared" si="90"/>
        <v>35.38320005661312</v>
      </c>
      <c r="V628" s="183">
        <f t="shared" si="84"/>
        <v>0</v>
      </c>
      <c r="W628" s="183"/>
      <c r="X628" s="183"/>
      <c r="Y628" s="64">
        <f t="shared" si="85"/>
        <v>776.00877503361414</v>
      </c>
      <c r="AA628" s="64">
        <f t="shared" si="86"/>
        <v>420</v>
      </c>
      <c r="AC628" s="64" t="s">
        <v>64</v>
      </c>
      <c r="AD628" s="64">
        <v>470</v>
      </c>
      <c r="AH628" s="64" t="e">
        <f t="shared" si="87"/>
        <v>#N/A</v>
      </c>
      <c r="AS628" s="64" t="e">
        <f t="shared" si="88"/>
        <v>#N/A</v>
      </c>
    </row>
    <row r="629" spans="1:45" s="64" customFormat="1" ht="36" customHeight="1" x14ac:dyDescent="0.9">
      <c r="A629" s="64">
        <v>1</v>
      </c>
      <c r="B629" s="92">
        <f>SUBTOTAL(103,$A$548:A629)</f>
        <v>82</v>
      </c>
      <c r="C629" s="91" t="s">
        <v>586</v>
      </c>
      <c r="D629" s="126" t="s">
        <v>325</v>
      </c>
      <c r="E629" s="126"/>
      <c r="F629" s="145" t="s">
        <v>319</v>
      </c>
      <c r="G629" s="126" t="s">
        <v>360</v>
      </c>
      <c r="H629" s="126">
        <v>3</v>
      </c>
      <c r="I629" s="117">
        <v>2495.6</v>
      </c>
      <c r="J629" s="117">
        <v>2297</v>
      </c>
      <c r="K629" s="117">
        <v>2070.8000000000002</v>
      </c>
      <c r="L629" s="127">
        <v>94</v>
      </c>
      <c r="M629" s="126" t="s">
        <v>271</v>
      </c>
      <c r="N629" s="126" t="s">
        <v>275</v>
      </c>
      <c r="O629" s="124" t="s">
        <v>1703</v>
      </c>
      <c r="P629" s="118">
        <v>100000</v>
      </c>
      <c r="Q629" s="118">
        <v>0</v>
      </c>
      <c r="R629" s="118">
        <v>0</v>
      </c>
      <c r="S629" s="118">
        <f t="shared" si="89"/>
        <v>100000</v>
      </c>
      <c r="T629" s="118">
        <f t="shared" si="82"/>
        <v>40.070524122455524</v>
      </c>
      <c r="U629" s="118">
        <f t="shared" si="90"/>
        <v>40.070524122455524</v>
      </c>
      <c r="V629" s="183">
        <f t="shared" si="84"/>
        <v>0</v>
      </c>
      <c r="W629" s="183"/>
      <c r="X629" s="183"/>
      <c r="Y629" s="64">
        <f t="shared" si="85"/>
        <v>1240.7947587754447</v>
      </c>
      <c r="AA629" s="64">
        <f t="shared" si="86"/>
        <v>593</v>
      </c>
      <c r="AC629" s="64" t="s">
        <v>70</v>
      </c>
      <c r="AD629" s="64">
        <v>615.76</v>
      </c>
      <c r="AH629" s="64" t="e">
        <f t="shared" si="87"/>
        <v>#N/A</v>
      </c>
      <c r="AS629" s="64" t="e">
        <f t="shared" si="88"/>
        <v>#N/A</v>
      </c>
    </row>
    <row r="630" spans="1:45" s="64" customFormat="1" ht="36" customHeight="1" x14ac:dyDescent="0.9">
      <c r="A630" s="64">
        <v>1</v>
      </c>
      <c r="B630" s="92">
        <f>SUBTOTAL(103,$A$548:A630)</f>
        <v>83</v>
      </c>
      <c r="C630" s="91" t="s">
        <v>1682</v>
      </c>
      <c r="D630" s="126">
        <v>1986</v>
      </c>
      <c r="E630" s="126"/>
      <c r="F630" s="145" t="s">
        <v>319</v>
      </c>
      <c r="G630" s="126">
        <v>9</v>
      </c>
      <c r="H630" s="126">
        <v>2</v>
      </c>
      <c r="I630" s="117">
        <v>4291.79</v>
      </c>
      <c r="J630" s="117">
        <v>3870.3</v>
      </c>
      <c r="K630" s="117">
        <v>3608.2</v>
      </c>
      <c r="L630" s="127">
        <v>180</v>
      </c>
      <c r="M630" s="126" t="s">
        <v>271</v>
      </c>
      <c r="N630" s="126" t="s">
        <v>275</v>
      </c>
      <c r="O630" s="124" t="s">
        <v>1414</v>
      </c>
      <c r="P630" s="118">
        <v>100001.92</v>
      </c>
      <c r="Q630" s="118">
        <v>0</v>
      </c>
      <c r="R630" s="118">
        <v>0</v>
      </c>
      <c r="S630" s="118">
        <f t="shared" si="89"/>
        <v>100001.92</v>
      </c>
      <c r="T630" s="118">
        <f t="shared" si="82"/>
        <v>23.300748638679899</v>
      </c>
      <c r="U630" s="118">
        <f t="shared" si="90"/>
        <v>23.300748638679899</v>
      </c>
      <c r="V630" s="183">
        <f t="shared" si="84"/>
        <v>0</v>
      </c>
      <c r="W630" s="183"/>
      <c r="X630" s="183"/>
      <c r="Y630" s="64">
        <f t="shared" si="85"/>
        <v>680.13257871424287</v>
      </c>
      <c r="AA630" s="64">
        <f t="shared" si="86"/>
        <v>559</v>
      </c>
      <c r="AC630" s="64" t="s">
        <v>71</v>
      </c>
      <c r="AD630" s="64">
        <v>458</v>
      </c>
      <c r="AH630" s="64" t="e">
        <f t="shared" si="87"/>
        <v>#N/A</v>
      </c>
      <c r="AS630" s="64" t="e">
        <f t="shared" si="88"/>
        <v>#N/A</v>
      </c>
    </row>
    <row r="631" spans="1:45" s="64" customFormat="1" ht="36" customHeight="1" x14ac:dyDescent="0.9">
      <c r="A631" s="64">
        <v>1</v>
      </c>
      <c r="B631" s="92">
        <f>SUBTOTAL(103,$A$548:A631)</f>
        <v>84</v>
      </c>
      <c r="C631" s="91" t="s">
        <v>587</v>
      </c>
      <c r="D631" s="126" t="s">
        <v>378</v>
      </c>
      <c r="E631" s="126"/>
      <c r="F631" s="145" t="s">
        <v>273</v>
      </c>
      <c r="G631" s="126" t="s">
        <v>366</v>
      </c>
      <c r="H631" s="126">
        <v>1</v>
      </c>
      <c r="I631" s="117">
        <v>6352.8</v>
      </c>
      <c r="J631" s="117">
        <v>4687.3999999999996</v>
      </c>
      <c r="K631" s="117">
        <v>2543.4</v>
      </c>
      <c r="L631" s="127">
        <v>211</v>
      </c>
      <c r="M631" s="126" t="s">
        <v>271</v>
      </c>
      <c r="N631" s="126" t="s">
        <v>275</v>
      </c>
      <c r="O631" s="124" t="s">
        <v>1118</v>
      </c>
      <c r="P631" s="118">
        <v>100000</v>
      </c>
      <c r="Q631" s="118">
        <v>0</v>
      </c>
      <c r="R631" s="118">
        <v>0</v>
      </c>
      <c r="S631" s="118">
        <f t="shared" si="89"/>
        <v>100000</v>
      </c>
      <c r="T631" s="118">
        <f t="shared" si="82"/>
        <v>15.741090542752801</v>
      </c>
      <c r="U631" s="118">
        <f t="shared" si="90"/>
        <v>15.741090542752801</v>
      </c>
      <c r="V631" s="183">
        <f t="shared" si="84"/>
        <v>0</v>
      </c>
      <c r="W631" s="183"/>
      <c r="X631" s="183"/>
      <c r="Y631" s="64">
        <f t="shared" si="85"/>
        <v>652.64280317340388</v>
      </c>
      <c r="AA631" s="64">
        <f t="shared" si="86"/>
        <v>794</v>
      </c>
      <c r="AC631" s="64" t="s">
        <v>72</v>
      </c>
      <c r="AD631" s="64">
        <v>940</v>
      </c>
      <c r="AH631" s="64" t="e">
        <f t="shared" si="87"/>
        <v>#N/A</v>
      </c>
      <c r="AS631" s="64" t="e">
        <f t="shared" si="88"/>
        <v>#N/A</v>
      </c>
    </row>
    <row r="632" spans="1:45" s="64" customFormat="1" ht="36" customHeight="1" x14ac:dyDescent="0.9">
      <c r="A632" s="64">
        <v>1</v>
      </c>
      <c r="B632" s="92">
        <f>SUBTOTAL(103,$A$548:A632)</f>
        <v>85</v>
      </c>
      <c r="C632" s="91" t="s">
        <v>1683</v>
      </c>
      <c r="D632" s="126">
        <v>1986</v>
      </c>
      <c r="E632" s="126"/>
      <c r="F632" s="145" t="s">
        <v>273</v>
      </c>
      <c r="G632" s="126">
        <v>5</v>
      </c>
      <c r="H632" s="126">
        <v>6</v>
      </c>
      <c r="I632" s="117">
        <v>4921.8</v>
      </c>
      <c r="J632" s="117">
        <v>3740</v>
      </c>
      <c r="K632" s="117">
        <v>3478.1</v>
      </c>
      <c r="L632" s="127">
        <v>200</v>
      </c>
      <c r="M632" s="126" t="s">
        <v>271</v>
      </c>
      <c r="N632" s="126" t="s">
        <v>275</v>
      </c>
      <c r="O632" s="124" t="s">
        <v>1118</v>
      </c>
      <c r="P632" s="118">
        <v>100000</v>
      </c>
      <c r="Q632" s="118">
        <v>0</v>
      </c>
      <c r="R632" s="118">
        <v>0</v>
      </c>
      <c r="S632" s="118">
        <f t="shared" si="89"/>
        <v>100000</v>
      </c>
      <c r="T632" s="118">
        <f t="shared" si="82"/>
        <v>20.317769921573408</v>
      </c>
      <c r="U632" s="118">
        <f t="shared" si="90"/>
        <v>20.317769921573408</v>
      </c>
      <c r="V632" s="183">
        <f t="shared" si="84"/>
        <v>0</v>
      </c>
      <c r="W632" s="183"/>
      <c r="X632" s="183"/>
      <c r="Y632" s="64">
        <f t="shared" si="85"/>
        <v>1419.5555284651957</v>
      </c>
      <c r="AA632" s="64">
        <f t="shared" si="86"/>
        <v>1338</v>
      </c>
      <c r="AC632" s="64" t="s">
        <v>73</v>
      </c>
      <c r="AD632" s="64">
        <v>645.79999999999995</v>
      </c>
      <c r="AH632" s="64" t="e">
        <f t="shared" si="87"/>
        <v>#N/A</v>
      </c>
      <c r="AS632" s="64" t="e">
        <f t="shared" si="88"/>
        <v>#N/A</v>
      </c>
    </row>
    <row r="633" spans="1:45" s="64" customFormat="1" ht="36" customHeight="1" x14ac:dyDescent="0.9">
      <c r="A633" s="64">
        <v>1</v>
      </c>
      <c r="B633" s="92">
        <f>SUBTOTAL(103,$A$548:A633)</f>
        <v>86</v>
      </c>
      <c r="C633" s="91" t="s">
        <v>588</v>
      </c>
      <c r="D633" s="126" t="s">
        <v>379</v>
      </c>
      <c r="E633" s="126"/>
      <c r="F633" s="145" t="s">
        <v>319</v>
      </c>
      <c r="G633" s="126" t="s">
        <v>360</v>
      </c>
      <c r="H633" s="126">
        <v>4</v>
      </c>
      <c r="I633" s="117">
        <v>4042.4</v>
      </c>
      <c r="J633" s="117">
        <v>3045.4</v>
      </c>
      <c r="K633" s="117">
        <v>2978.7</v>
      </c>
      <c r="L633" s="127">
        <v>118</v>
      </c>
      <c r="M633" s="126" t="s">
        <v>271</v>
      </c>
      <c r="N633" s="126" t="s">
        <v>275</v>
      </c>
      <c r="O633" s="124" t="s">
        <v>1352</v>
      </c>
      <c r="P633" s="118">
        <v>100000</v>
      </c>
      <c r="Q633" s="118">
        <v>0</v>
      </c>
      <c r="R633" s="118">
        <v>0</v>
      </c>
      <c r="S633" s="118">
        <f t="shared" si="89"/>
        <v>100000</v>
      </c>
      <c r="T633" s="118">
        <f t="shared" si="82"/>
        <v>24.737779536908768</v>
      </c>
      <c r="U633" s="118">
        <f t="shared" si="90"/>
        <v>24.737779536908768</v>
      </c>
      <c r="V633" s="183">
        <f t="shared" si="84"/>
        <v>0</v>
      </c>
      <c r="W633" s="183"/>
      <c r="X633" s="183"/>
      <c r="Y633" s="64">
        <f t="shared" si="85"/>
        <v>981.99395408668124</v>
      </c>
      <c r="AA633" s="64">
        <f t="shared" si="86"/>
        <v>760.2</v>
      </c>
      <c r="AC633" s="64" t="s">
        <v>1616</v>
      </c>
      <c r="AD633" s="64">
        <v>1320</v>
      </c>
      <c r="AH633" s="64" t="e">
        <f t="shared" si="87"/>
        <v>#N/A</v>
      </c>
      <c r="AS633" s="64" t="e">
        <f t="shared" si="88"/>
        <v>#N/A</v>
      </c>
    </row>
    <row r="634" spans="1:45" s="64" customFormat="1" ht="36" customHeight="1" x14ac:dyDescent="0.9">
      <c r="A634" s="64">
        <v>1</v>
      </c>
      <c r="B634" s="92">
        <f>SUBTOTAL(103,$A$548:A634)</f>
        <v>87</v>
      </c>
      <c r="C634" s="91" t="s">
        <v>589</v>
      </c>
      <c r="D634" s="126">
        <v>1971</v>
      </c>
      <c r="E634" s="126"/>
      <c r="F634" s="145" t="s">
        <v>273</v>
      </c>
      <c r="G634" s="126">
        <v>5</v>
      </c>
      <c r="H634" s="126">
        <v>5</v>
      </c>
      <c r="I634" s="117">
        <v>4541.8</v>
      </c>
      <c r="J634" s="117">
        <v>4541.8</v>
      </c>
      <c r="K634" s="117">
        <v>4403.2</v>
      </c>
      <c r="L634" s="127">
        <v>250</v>
      </c>
      <c r="M634" s="126" t="s">
        <v>271</v>
      </c>
      <c r="N634" s="126" t="s">
        <v>275</v>
      </c>
      <c r="O634" s="124" t="s">
        <v>1415</v>
      </c>
      <c r="P634" s="118">
        <v>100000</v>
      </c>
      <c r="Q634" s="118">
        <v>0</v>
      </c>
      <c r="R634" s="118">
        <v>0</v>
      </c>
      <c r="S634" s="118">
        <f t="shared" si="89"/>
        <v>100000</v>
      </c>
      <c r="T634" s="118">
        <f t="shared" si="82"/>
        <v>22.017702232595006</v>
      </c>
      <c r="U634" s="118">
        <f t="shared" si="90"/>
        <v>22.017702232595006</v>
      </c>
      <c r="V634" s="183">
        <f t="shared" si="84"/>
        <v>0</v>
      </c>
      <c r="W634" s="183"/>
      <c r="X634" s="183"/>
      <c r="Y634" s="64">
        <f t="shared" si="85"/>
        <v>1449.1075608789467</v>
      </c>
      <c r="AA634" s="64">
        <f t="shared" si="86"/>
        <v>1260.4000000000001</v>
      </c>
      <c r="AC634" s="64" t="s">
        <v>231</v>
      </c>
      <c r="AD634" s="64">
        <v>925</v>
      </c>
      <c r="AH634" s="64" t="e">
        <f t="shared" si="87"/>
        <v>#N/A</v>
      </c>
      <c r="AS634" s="64" t="e">
        <f t="shared" si="88"/>
        <v>#N/A</v>
      </c>
    </row>
    <row r="635" spans="1:45" s="64" customFormat="1" ht="36" customHeight="1" x14ac:dyDescent="0.9">
      <c r="A635" s="64">
        <v>1</v>
      </c>
      <c r="B635" s="92">
        <f>SUBTOTAL(103,$A$548:A635)</f>
        <v>88</v>
      </c>
      <c r="C635" s="91" t="s">
        <v>590</v>
      </c>
      <c r="D635" s="126" t="s">
        <v>317</v>
      </c>
      <c r="E635" s="126"/>
      <c r="F635" s="145" t="s">
        <v>319</v>
      </c>
      <c r="G635" s="126" t="s">
        <v>360</v>
      </c>
      <c r="H635" s="126">
        <v>6</v>
      </c>
      <c r="I635" s="117">
        <v>6071.1</v>
      </c>
      <c r="J635" s="117">
        <v>4547.3999999999996</v>
      </c>
      <c r="K635" s="117">
        <v>4155.2</v>
      </c>
      <c r="L635" s="127">
        <v>204</v>
      </c>
      <c r="M635" s="126" t="s">
        <v>271</v>
      </c>
      <c r="N635" s="126" t="s">
        <v>275</v>
      </c>
      <c r="O635" s="124" t="s">
        <v>1352</v>
      </c>
      <c r="P635" s="118">
        <v>100000</v>
      </c>
      <c r="Q635" s="118">
        <v>0</v>
      </c>
      <c r="R635" s="118">
        <v>0</v>
      </c>
      <c r="S635" s="118">
        <f t="shared" si="89"/>
        <v>100000</v>
      </c>
      <c r="T635" s="118">
        <f t="shared" si="82"/>
        <v>16.471479633015434</v>
      </c>
      <c r="U635" s="118">
        <f t="shared" si="90"/>
        <v>16.471479633015434</v>
      </c>
      <c r="V635" s="183">
        <f t="shared" si="84"/>
        <v>0</v>
      </c>
      <c r="W635" s="183"/>
      <c r="X635" s="183"/>
      <c r="Y635" s="64">
        <f t="shared" si="85"/>
        <v>989.98398972179666</v>
      </c>
      <c r="AA635" s="64">
        <f t="shared" si="86"/>
        <v>1151</v>
      </c>
      <c r="AC635" s="64" t="s">
        <v>162</v>
      </c>
      <c r="AD635" s="64">
        <v>1501.50709241</v>
      </c>
      <c r="AH635" s="64" t="e">
        <f t="shared" si="87"/>
        <v>#N/A</v>
      </c>
      <c r="AS635" s="64" t="e">
        <f t="shared" si="88"/>
        <v>#N/A</v>
      </c>
    </row>
    <row r="636" spans="1:45" s="64" customFormat="1" ht="36" customHeight="1" x14ac:dyDescent="0.9">
      <c r="A636" s="64">
        <v>1</v>
      </c>
      <c r="B636" s="92">
        <f>SUBTOTAL(103,$A$548:A636)</f>
        <v>89</v>
      </c>
      <c r="C636" s="91" t="s">
        <v>591</v>
      </c>
      <c r="D636" s="126" t="s">
        <v>377</v>
      </c>
      <c r="E636" s="126"/>
      <c r="F636" s="145" t="s">
        <v>319</v>
      </c>
      <c r="G636" s="126" t="s">
        <v>380</v>
      </c>
      <c r="H636" s="126">
        <v>2</v>
      </c>
      <c r="I636" s="117">
        <v>2963</v>
      </c>
      <c r="J636" s="117">
        <v>2175.9</v>
      </c>
      <c r="K636" s="117">
        <v>2084.1</v>
      </c>
      <c r="L636" s="127">
        <v>123</v>
      </c>
      <c r="M636" s="126" t="s">
        <v>271</v>
      </c>
      <c r="N636" s="126" t="s">
        <v>275</v>
      </c>
      <c r="O636" s="124" t="s">
        <v>1352</v>
      </c>
      <c r="P636" s="118">
        <v>100000</v>
      </c>
      <c r="Q636" s="118">
        <v>0</v>
      </c>
      <c r="R636" s="118">
        <v>0</v>
      </c>
      <c r="S636" s="118">
        <f t="shared" si="89"/>
        <v>100000</v>
      </c>
      <c r="T636" s="118">
        <f t="shared" si="82"/>
        <v>33.74957813027337</v>
      </c>
      <c r="U636" s="118">
        <f t="shared" si="90"/>
        <v>33.74957813027337</v>
      </c>
      <c r="V636" s="183">
        <f t="shared" si="84"/>
        <v>0</v>
      </c>
      <c r="W636" s="183"/>
      <c r="X636" s="183"/>
      <c r="Y636" s="64">
        <f t="shared" si="85"/>
        <v>818.95729328383391</v>
      </c>
      <c r="AA636" s="64">
        <f t="shared" si="86"/>
        <v>464.7</v>
      </c>
      <c r="AC636" s="64" t="s">
        <v>169</v>
      </c>
      <c r="AD636" s="64">
        <v>771.1</v>
      </c>
      <c r="AH636" s="64" t="e">
        <f t="shared" si="87"/>
        <v>#N/A</v>
      </c>
      <c r="AS636" s="64" t="e">
        <f t="shared" si="88"/>
        <v>#N/A</v>
      </c>
    </row>
    <row r="637" spans="1:45" s="64" customFormat="1" ht="36" customHeight="1" x14ac:dyDescent="0.9">
      <c r="A637" s="64">
        <v>1</v>
      </c>
      <c r="B637" s="92">
        <f>SUBTOTAL(103,$A$548:A637)</f>
        <v>90</v>
      </c>
      <c r="C637" s="91" t="s">
        <v>592</v>
      </c>
      <c r="D637" s="126" t="s">
        <v>321</v>
      </c>
      <c r="E637" s="126"/>
      <c r="F637" s="145" t="s">
        <v>319</v>
      </c>
      <c r="G637" s="126" t="s">
        <v>380</v>
      </c>
      <c r="H637" s="126">
        <v>2</v>
      </c>
      <c r="I637" s="117">
        <v>2482.1</v>
      </c>
      <c r="J637" s="117">
        <v>2181.5500000000002</v>
      </c>
      <c r="K637" s="117">
        <v>1858.6</v>
      </c>
      <c r="L637" s="127">
        <v>96</v>
      </c>
      <c r="M637" s="126" t="s">
        <v>271</v>
      </c>
      <c r="N637" s="126" t="s">
        <v>275</v>
      </c>
      <c r="O637" s="124" t="s">
        <v>1413</v>
      </c>
      <c r="P637" s="118">
        <v>99900</v>
      </c>
      <c r="Q637" s="118">
        <v>0</v>
      </c>
      <c r="R637" s="118">
        <v>0</v>
      </c>
      <c r="S637" s="118">
        <f t="shared" si="89"/>
        <v>99900</v>
      </c>
      <c r="T637" s="118">
        <f t="shared" ref="T637:T725" si="91">P637/I637</f>
        <v>40.248176946940092</v>
      </c>
      <c r="U637" s="118">
        <f t="shared" si="90"/>
        <v>40.248176946940092</v>
      </c>
      <c r="V637" s="183">
        <f t="shared" si="84"/>
        <v>0</v>
      </c>
      <c r="W637" s="183"/>
      <c r="X637" s="183"/>
      <c r="Y637" s="64">
        <f t="shared" si="85"/>
        <v>977.58592482172367</v>
      </c>
      <c r="AA637" s="64">
        <f t="shared" si="86"/>
        <v>464.68</v>
      </c>
      <c r="AC637" s="64" t="s">
        <v>167</v>
      </c>
      <c r="AD637" s="64">
        <v>878.4</v>
      </c>
      <c r="AH637" s="64" t="e">
        <f t="shared" si="87"/>
        <v>#N/A</v>
      </c>
      <c r="AS637" s="64" t="e">
        <f t="shared" si="88"/>
        <v>#N/A</v>
      </c>
    </row>
    <row r="638" spans="1:45" s="64" customFormat="1" ht="36" customHeight="1" x14ac:dyDescent="0.9">
      <c r="A638" s="64">
        <v>1</v>
      </c>
      <c r="B638" s="92">
        <f>SUBTOTAL(103,$A$548:A638)</f>
        <v>91</v>
      </c>
      <c r="C638" s="91" t="s">
        <v>1684</v>
      </c>
      <c r="D638" s="126">
        <v>1962</v>
      </c>
      <c r="E638" s="126"/>
      <c r="F638" s="145" t="s">
        <v>273</v>
      </c>
      <c r="G638" s="126">
        <v>4</v>
      </c>
      <c r="H638" s="126">
        <v>3</v>
      </c>
      <c r="I638" s="117">
        <v>2169.3000000000002</v>
      </c>
      <c r="J638" s="117">
        <v>1836.7</v>
      </c>
      <c r="K638" s="117">
        <v>1836.7</v>
      </c>
      <c r="L638" s="127">
        <v>110</v>
      </c>
      <c r="M638" s="126" t="s">
        <v>271</v>
      </c>
      <c r="N638" s="126" t="s">
        <v>275</v>
      </c>
      <c r="O638" s="124" t="s">
        <v>1118</v>
      </c>
      <c r="P638" s="118">
        <v>100000</v>
      </c>
      <c r="Q638" s="118">
        <v>0</v>
      </c>
      <c r="R638" s="118">
        <v>0</v>
      </c>
      <c r="S638" s="118">
        <f t="shared" si="89"/>
        <v>100000</v>
      </c>
      <c r="T638" s="118">
        <f t="shared" si="91"/>
        <v>46.097819573134188</v>
      </c>
      <c r="U638" s="118">
        <f t="shared" si="90"/>
        <v>46.097819573134188</v>
      </c>
      <c r="V638" s="183">
        <f t="shared" si="84"/>
        <v>0</v>
      </c>
      <c r="W638" s="183"/>
      <c r="X638" s="183"/>
      <c r="Y638" s="64">
        <f t="shared" si="85"/>
        <v>1993.1085603650947</v>
      </c>
      <c r="AA638" s="64">
        <f t="shared" si="86"/>
        <v>828</v>
      </c>
      <c r="AC638" s="64" t="s">
        <v>166</v>
      </c>
      <c r="AD638" s="64">
        <v>313.55860000000001</v>
      </c>
      <c r="AH638" s="64" t="e">
        <f t="shared" si="87"/>
        <v>#N/A</v>
      </c>
      <c r="AS638" s="64" t="e">
        <f t="shared" si="88"/>
        <v>#N/A</v>
      </c>
    </row>
    <row r="639" spans="1:45" s="64" customFormat="1" ht="36" customHeight="1" x14ac:dyDescent="0.9">
      <c r="A639" s="64">
        <v>1</v>
      </c>
      <c r="B639" s="92">
        <f>SUBTOTAL(103,$A$548:A639)</f>
        <v>92</v>
      </c>
      <c r="C639" s="91" t="s">
        <v>593</v>
      </c>
      <c r="D639" s="126" t="s">
        <v>381</v>
      </c>
      <c r="E639" s="126"/>
      <c r="F639" s="145" t="s">
        <v>319</v>
      </c>
      <c r="G639" s="126" t="s">
        <v>360</v>
      </c>
      <c r="H639" s="126">
        <v>4</v>
      </c>
      <c r="I639" s="117">
        <v>3579.9</v>
      </c>
      <c r="J639" s="117">
        <v>3134.6</v>
      </c>
      <c r="K639" s="117">
        <v>3134.6</v>
      </c>
      <c r="L639" s="127">
        <v>151</v>
      </c>
      <c r="M639" s="126" t="s">
        <v>271</v>
      </c>
      <c r="N639" s="126" t="s">
        <v>275</v>
      </c>
      <c r="O639" s="124" t="s">
        <v>1414</v>
      </c>
      <c r="P639" s="118">
        <v>100000</v>
      </c>
      <c r="Q639" s="118">
        <v>0</v>
      </c>
      <c r="R639" s="118">
        <v>0</v>
      </c>
      <c r="S639" s="118">
        <f t="shared" si="89"/>
        <v>100000</v>
      </c>
      <c r="T639" s="118">
        <f t="shared" si="91"/>
        <v>27.933741165954356</v>
      </c>
      <c r="U639" s="118">
        <f t="shared" si="90"/>
        <v>27.933741165954356</v>
      </c>
      <c r="V639" s="183">
        <f t="shared" si="84"/>
        <v>0</v>
      </c>
      <c r="W639" s="183"/>
      <c r="X639" s="183"/>
      <c r="Y639" s="64">
        <f t="shared" si="85"/>
        <v>1338.5976870862314</v>
      </c>
      <c r="AA639" s="64">
        <f t="shared" si="86"/>
        <v>917.7</v>
      </c>
      <c r="AC639" s="64" t="s">
        <v>163</v>
      </c>
      <c r="AD639" s="64">
        <v>1276.79</v>
      </c>
      <c r="AH639" s="64" t="e">
        <f t="shared" si="87"/>
        <v>#N/A</v>
      </c>
      <c r="AS639" s="64" t="e">
        <f t="shared" si="88"/>
        <v>#N/A</v>
      </c>
    </row>
    <row r="640" spans="1:45" s="64" customFormat="1" ht="36" customHeight="1" x14ac:dyDescent="0.9">
      <c r="A640" s="64">
        <v>1</v>
      </c>
      <c r="B640" s="92">
        <f>SUBTOTAL(103,$A$548:A640)</f>
        <v>93</v>
      </c>
      <c r="C640" s="91" t="s">
        <v>594</v>
      </c>
      <c r="D640" s="126" t="s">
        <v>382</v>
      </c>
      <c r="E640" s="126"/>
      <c r="F640" s="145" t="s">
        <v>273</v>
      </c>
      <c r="G640" s="126" t="s">
        <v>320</v>
      </c>
      <c r="H640" s="126">
        <v>1</v>
      </c>
      <c r="I640" s="117">
        <v>1637</v>
      </c>
      <c r="J640" s="117">
        <v>983.6</v>
      </c>
      <c r="K640" s="117">
        <v>768.5</v>
      </c>
      <c r="L640" s="127">
        <v>71</v>
      </c>
      <c r="M640" s="126" t="s">
        <v>271</v>
      </c>
      <c r="N640" s="126" t="s">
        <v>275</v>
      </c>
      <c r="O640" s="124" t="s">
        <v>1413</v>
      </c>
      <c r="P640" s="118">
        <v>100000</v>
      </c>
      <c r="Q640" s="118">
        <v>0</v>
      </c>
      <c r="R640" s="118">
        <v>0</v>
      </c>
      <c r="S640" s="118">
        <f t="shared" si="89"/>
        <v>100000</v>
      </c>
      <c r="T640" s="118">
        <f t="shared" si="91"/>
        <v>61.087354917532068</v>
      </c>
      <c r="U640" s="118">
        <f t="shared" si="90"/>
        <v>61.087354917532068</v>
      </c>
      <c r="V640" s="183">
        <f t="shared" si="84"/>
        <v>0</v>
      </c>
      <c r="W640" s="183"/>
      <c r="X640" s="183"/>
      <c r="Y640" s="64">
        <f t="shared" si="85"/>
        <v>2472.1411117898597</v>
      </c>
      <c r="AA640" s="64">
        <f t="shared" si="86"/>
        <v>775</v>
      </c>
      <c r="AC640" s="64" t="s">
        <v>164</v>
      </c>
      <c r="AD640" s="64">
        <v>866.32</v>
      </c>
      <c r="AH640" s="64" t="e">
        <f t="shared" si="87"/>
        <v>#N/A</v>
      </c>
      <c r="AS640" s="64" t="e">
        <f t="shared" si="88"/>
        <v>#N/A</v>
      </c>
    </row>
    <row r="641" spans="1:45" s="64" customFormat="1" ht="36" customHeight="1" x14ac:dyDescent="0.9">
      <c r="A641" s="64">
        <v>1</v>
      </c>
      <c r="B641" s="92">
        <f>SUBTOTAL(103,$A$548:A641)</f>
        <v>94</v>
      </c>
      <c r="C641" s="91" t="s">
        <v>595</v>
      </c>
      <c r="D641" s="126" t="s">
        <v>318</v>
      </c>
      <c r="E641" s="126"/>
      <c r="F641" s="145" t="s">
        <v>319</v>
      </c>
      <c r="G641" s="126" t="s">
        <v>360</v>
      </c>
      <c r="H641" s="126">
        <v>3</v>
      </c>
      <c r="I641" s="117">
        <v>2249.1</v>
      </c>
      <c r="J641" s="117">
        <v>2046.7</v>
      </c>
      <c r="K641" s="117">
        <v>2046.7</v>
      </c>
      <c r="L641" s="127">
        <v>97</v>
      </c>
      <c r="M641" s="126" t="s">
        <v>271</v>
      </c>
      <c r="N641" s="126" t="s">
        <v>275</v>
      </c>
      <c r="O641" s="124" t="s">
        <v>1414</v>
      </c>
      <c r="P641" s="118">
        <v>100000</v>
      </c>
      <c r="Q641" s="118">
        <v>0</v>
      </c>
      <c r="R641" s="118">
        <v>0</v>
      </c>
      <c r="S641" s="118">
        <f t="shared" si="89"/>
        <v>100000</v>
      </c>
      <c r="T641" s="118">
        <f t="shared" si="91"/>
        <v>44.462229336178915</v>
      </c>
      <c r="U641" s="118">
        <f t="shared" si="90"/>
        <v>44.462229336178915</v>
      </c>
      <c r="V641" s="183">
        <f t="shared" si="84"/>
        <v>0</v>
      </c>
      <c r="W641" s="183"/>
      <c r="X641" s="183"/>
      <c r="Y641" s="64">
        <f t="shared" si="85"/>
        <v>1293.202881152461</v>
      </c>
      <c r="AA641" s="64">
        <f t="shared" si="86"/>
        <v>557</v>
      </c>
      <c r="AC641" s="64" t="s">
        <v>165</v>
      </c>
      <c r="AD641" s="64">
        <v>748.2</v>
      </c>
      <c r="AH641" s="64" t="e">
        <f t="shared" si="87"/>
        <v>#N/A</v>
      </c>
      <c r="AS641" s="64" t="e">
        <f t="shared" si="88"/>
        <v>#N/A</v>
      </c>
    </row>
    <row r="642" spans="1:45" s="64" customFormat="1" ht="36" customHeight="1" x14ac:dyDescent="0.9">
      <c r="A642" s="64">
        <v>1</v>
      </c>
      <c r="B642" s="92">
        <f>SUBTOTAL(103,$A$548:A642)</f>
        <v>95</v>
      </c>
      <c r="C642" s="91" t="s">
        <v>596</v>
      </c>
      <c r="D642" s="126" t="s">
        <v>318</v>
      </c>
      <c r="E642" s="126"/>
      <c r="F642" s="145" t="s">
        <v>273</v>
      </c>
      <c r="G642" s="126" t="s">
        <v>360</v>
      </c>
      <c r="H642" s="126">
        <v>1</v>
      </c>
      <c r="I642" s="117">
        <v>867.9</v>
      </c>
      <c r="J642" s="117">
        <v>809.2</v>
      </c>
      <c r="K642" s="117">
        <v>766.2</v>
      </c>
      <c r="L642" s="127">
        <v>36</v>
      </c>
      <c r="M642" s="126" t="s">
        <v>271</v>
      </c>
      <c r="N642" s="126" t="s">
        <v>275</v>
      </c>
      <c r="O642" s="124" t="s">
        <v>1427</v>
      </c>
      <c r="P642" s="118">
        <v>100000</v>
      </c>
      <c r="Q642" s="118">
        <v>0</v>
      </c>
      <c r="R642" s="118">
        <v>0</v>
      </c>
      <c r="S642" s="118">
        <f t="shared" si="89"/>
        <v>100000</v>
      </c>
      <c r="T642" s="118">
        <f t="shared" si="91"/>
        <v>115.22064754003918</v>
      </c>
      <c r="U642" s="118">
        <f t="shared" si="90"/>
        <v>115.22064754003918</v>
      </c>
      <c r="V642" s="183">
        <f t="shared" si="84"/>
        <v>0</v>
      </c>
      <c r="W642" s="183"/>
      <c r="X642" s="183"/>
      <c r="Y642" s="64">
        <f t="shared" si="85"/>
        <v>1359.7497407535432</v>
      </c>
      <c r="AA642" s="64">
        <f t="shared" si="86"/>
        <v>226</v>
      </c>
      <c r="AC642" s="64" t="s">
        <v>161</v>
      </c>
      <c r="AD642" s="64">
        <v>741.79</v>
      </c>
      <c r="AH642" s="64" t="e">
        <f t="shared" si="87"/>
        <v>#N/A</v>
      </c>
      <c r="AS642" s="64" t="e">
        <f t="shared" si="88"/>
        <v>#N/A</v>
      </c>
    </row>
    <row r="643" spans="1:45" s="64" customFormat="1" ht="36" customHeight="1" x14ac:dyDescent="0.9">
      <c r="A643" s="64">
        <v>1</v>
      </c>
      <c r="B643" s="92">
        <f>SUBTOTAL(103,$A$548:A643)</f>
        <v>96</v>
      </c>
      <c r="C643" s="91" t="s">
        <v>597</v>
      </c>
      <c r="D643" s="126" t="s">
        <v>383</v>
      </c>
      <c r="E643" s="126"/>
      <c r="F643" s="145" t="s">
        <v>319</v>
      </c>
      <c r="G643" s="126" t="s">
        <v>360</v>
      </c>
      <c r="H643" s="126">
        <v>3</v>
      </c>
      <c r="I643" s="117">
        <v>2653.8</v>
      </c>
      <c r="J643" s="117">
        <v>2443.1</v>
      </c>
      <c r="K643" s="117">
        <v>2354.1</v>
      </c>
      <c r="L643" s="127">
        <v>102</v>
      </c>
      <c r="M643" s="126" t="s">
        <v>271</v>
      </c>
      <c r="N643" s="126" t="s">
        <v>275</v>
      </c>
      <c r="O643" s="124" t="s">
        <v>1102</v>
      </c>
      <c r="P643" s="118">
        <v>100000</v>
      </c>
      <c r="Q643" s="118">
        <v>0</v>
      </c>
      <c r="R643" s="118">
        <v>0</v>
      </c>
      <c r="S643" s="118">
        <f t="shared" si="89"/>
        <v>100000</v>
      </c>
      <c r="T643" s="118">
        <f t="shared" si="91"/>
        <v>37.681814756198655</v>
      </c>
      <c r="U643" s="118">
        <f t="shared" si="90"/>
        <v>37.681814756198655</v>
      </c>
      <c r="V643" s="183">
        <f t="shared" si="84"/>
        <v>0</v>
      </c>
      <c r="W643" s="183"/>
      <c r="X643" s="183"/>
      <c r="Y643" s="64">
        <f t="shared" si="85"/>
        <v>1243.5668098575627</v>
      </c>
      <c r="AA643" s="64">
        <f t="shared" si="86"/>
        <v>632</v>
      </c>
      <c r="AC643" s="64" t="s">
        <v>139</v>
      </c>
      <c r="AD643" s="64">
        <v>995</v>
      </c>
      <c r="AH643" s="64" t="e">
        <f t="shared" si="87"/>
        <v>#N/A</v>
      </c>
      <c r="AS643" s="64" t="e">
        <f t="shared" si="88"/>
        <v>#N/A</v>
      </c>
    </row>
    <row r="644" spans="1:45" s="64" customFormat="1" ht="36" customHeight="1" x14ac:dyDescent="0.9">
      <c r="A644" s="64">
        <v>1</v>
      </c>
      <c r="B644" s="92">
        <f>SUBTOTAL(103,$A$548:A644)</f>
        <v>97</v>
      </c>
      <c r="C644" s="91" t="s">
        <v>598</v>
      </c>
      <c r="D644" s="126" t="s">
        <v>383</v>
      </c>
      <c r="E644" s="126"/>
      <c r="F644" s="145" t="s">
        <v>319</v>
      </c>
      <c r="G644" s="126" t="s">
        <v>360</v>
      </c>
      <c r="H644" s="126">
        <v>3</v>
      </c>
      <c r="I644" s="117">
        <v>2632.8</v>
      </c>
      <c r="J644" s="117">
        <v>2351.9</v>
      </c>
      <c r="K644" s="117">
        <v>2335.8000000000002</v>
      </c>
      <c r="L644" s="127">
        <v>107</v>
      </c>
      <c r="M644" s="126" t="s">
        <v>271</v>
      </c>
      <c r="N644" s="126" t="s">
        <v>275</v>
      </c>
      <c r="O644" s="124" t="s">
        <v>1102</v>
      </c>
      <c r="P644" s="118">
        <v>100000</v>
      </c>
      <c r="Q644" s="118">
        <v>0</v>
      </c>
      <c r="R644" s="118">
        <v>0</v>
      </c>
      <c r="S644" s="118">
        <f t="shared" si="89"/>
        <v>100000</v>
      </c>
      <c r="T644" s="118">
        <f t="shared" si="91"/>
        <v>37.982376177453659</v>
      </c>
      <c r="U644" s="118">
        <f t="shared" si="90"/>
        <v>37.982376177453659</v>
      </c>
      <c r="V644" s="183">
        <f t="shared" si="84"/>
        <v>0</v>
      </c>
      <c r="W644" s="183"/>
      <c r="X644" s="183"/>
      <c r="Y644" s="64">
        <f t="shared" si="85"/>
        <v>1253.4858705560619</v>
      </c>
      <c r="AA644" s="64">
        <f t="shared" si="86"/>
        <v>632</v>
      </c>
      <c r="AC644" s="64" t="s">
        <v>101</v>
      </c>
      <c r="AD644" s="64">
        <v>800</v>
      </c>
      <c r="AH644" s="64" t="e">
        <f t="shared" si="87"/>
        <v>#N/A</v>
      </c>
      <c r="AS644" s="64" t="e">
        <f t="shared" si="88"/>
        <v>#N/A</v>
      </c>
    </row>
    <row r="645" spans="1:45" s="64" customFormat="1" ht="36" customHeight="1" x14ac:dyDescent="0.9">
      <c r="A645" s="64">
        <v>1</v>
      </c>
      <c r="B645" s="92">
        <f>SUBTOTAL(103,$A$548:A645)</f>
        <v>98</v>
      </c>
      <c r="C645" s="91" t="s">
        <v>599</v>
      </c>
      <c r="D645" s="126" t="s">
        <v>318</v>
      </c>
      <c r="E645" s="126"/>
      <c r="F645" s="145" t="s">
        <v>273</v>
      </c>
      <c r="G645" s="126" t="s">
        <v>366</v>
      </c>
      <c r="H645" s="126">
        <v>1</v>
      </c>
      <c r="I645" s="117">
        <v>3626.2</v>
      </c>
      <c r="J645" s="117">
        <v>3322.8</v>
      </c>
      <c r="K645" s="117">
        <v>3152.1</v>
      </c>
      <c r="L645" s="127">
        <v>152</v>
      </c>
      <c r="M645" s="126" t="s">
        <v>271</v>
      </c>
      <c r="N645" s="126" t="s">
        <v>275</v>
      </c>
      <c r="O645" s="124" t="s">
        <v>1102</v>
      </c>
      <c r="P645" s="118">
        <v>100000</v>
      </c>
      <c r="Q645" s="118">
        <v>0</v>
      </c>
      <c r="R645" s="118">
        <v>0</v>
      </c>
      <c r="S645" s="118">
        <f t="shared" si="89"/>
        <v>100000</v>
      </c>
      <c r="T645" s="118">
        <f t="shared" si="91"/>
        <v>27.577077932822238</v>
      </c>
      <c r="U645" s="118">
        <f t="shared" si="90"/>
        <v>27.577077932822238</v>
      </c>
      <c r="V645" s="183">
        <f t="shared" si="84"/>
        <v>0</v>
      </c>
      <c r="W645" s="183"/>
      <c r="X645" s="183"/>
      <c r="Y645" s="64">
        <f t="shared" si="85"/>
        <v>1036.8142959572003</v>
      </c>
      <c r="AA645" s="64">
        <f t="shared" si="86"/>
        <v>720</v>
      </c>
      <c r="AC645" s="64" t="s">
        <v>102</v>
      </c>
      <c r="AD645" s="64">
        <v>966</v>
      </c>
      <c r="AH645" s="64" t="e">
        <f t="shared" si="87"/>
        <v>#N/A</v>
      </c>
      <c r="AS645" s="64" t="e">
        <f t="shared" si="88"/>
        <v>#N/A</v>
      </c>
    </row>
    <row r="646" spans="1:45" s="64" customFormat="1" ht="36" customHeight="1" x14ac:dyDescent="0.9">
      <c r="A646" s="64">
        <v>1</v>
      </c>
      <c r="B646" s="92">
        <f>SUBTOTAL(103,$A$548:A646)</f>
        <v>99</v>
      </c>
      <c r="C646" s="91" t="s">
        <v>600</v>
      </c>
      <c r="D646" s="126" t="s">
        <v>384</v>
      </c>
      <c r="E646" s="126"/>
      <c r="F646" s="145" t="s">
        <v>319</v>
      </c>
      <c r="G646" s="126" t="s">
        <v>360</v>
      </c>
      <c r="H646" s="126">
        <v>4</v>
      </c>
      <c r="I646" s="117">
        <v>3861</v>
      </c>
      <c r="J646" s="117">
        <v>3604.2</v>
      </c>
      <c r="K646" s="117">
        <v>3552.1</v>
      </c>
      <c r="L646" s="127">
        <v>165</v>
      </c>
      <c r="M646" s="126" t="s">
        <v>271</v>
      </c>
      <c r="N646" s="126" t="s">
        <v>275</v>
      </c>
      <c r="O646" s="124" t="s">
        <v>1102</v>
      </c>
      <c r="P646" s="118">
        <v>100000</v>
      </c>
      <c r="Q646" s="118">
        <v>0</v>
      </c>
      <c r="R646" s="118">
        <v>0</v>
      </c>
      <c r="S646" s="118">
        <f t="shared" si="89"/>
        <v>100000</v>
      </c>
      <c r="T646" s="118">
        <f t="shared" si="91"/>
        <v>25.900025900025899</v>
      </c>
      <c r="U646" s="118">
        <f t="shared" si="90"/>
        <v>25.900025900025899</v>
      </c>
      <c r="V646" s="183">
        <f t="shared" si="84"/>
        <v>0</v>
      </c>
      <c r="W646" s="183"/>
      <c r="X646" s="183"/>
      <c r="Y646" s="64">
        <f t="shared" si="85"/>
        <v>1313.2265734265734</v>
      </c>
      <c r="AA646" s="64">
        <f t="shared" si="86"/>
        <v>971</v>
      </c>
      <c r="AC646" s="64" t="s">
        <v>106</v>
      </c>
      <c r="AD646" s="64">
        <v>694</v>
      </c>
      <c r="AH646" s="64" t="e">
        <f t="shared" si="87"/>
        <v>#N/A</v>
      </c>
      <c r="AS646" s="64" t="e">
        <f t="shared" si="88"/>
        <v>#N/A</v>
      </c>
    </row>
    <row r="647" spans="1:45" s="64" customFormat="1" ht="36" customHeight="1" x14ac:dyDescent="0.9">
      <c r="A647" s="64">
        <v>1</v>
      </c>
      <c r="B647" s="92">
        <f>SUBTOTAL(103,$A$548:A647)</f>
        <v>100</v>
      </c>
      <c r="C647" s="91" t="s">
        <v>601</v>
      </c>
      <c r="D647" s="126" t="s">
        <v>385</v>
      </c>
      <c r="E647" s="126"/>
      <c r="F647" s="145" t="s">
        <v>273</v>
      </c>
      <c r="G647" s="126" t="s">
        <v>366</v>
      </c>
      <c r="H647" s="126">
        <v>1</v>
      </c>
      <c r="I647" s="117">
        <v>1800.4</v>
      </c>
      <c r="J647" s="117">
        <v>1643.1</v>
      </c>
      <c r="K647" s="117">
        <v>1043.0999999999999</v>
      </c>
      <c r="L647" s="127">
        <v>59</v>
      </c>
      <c r="M647" s="126" t="s">
        <v>271</v>
      </c>
      <c r="N647" s="126" t="s">
        <v>275</v>
      </c>
      <c r="O647" s="124" t="s">
        <v>1700</v>
      </c>
      <c r="P647" s="118">
        <v>100000</v>
      </c>
      <c r="Q647" s="118">
        <v>0</v>
      </c>
      <c r="R647" s="118">
        <v>0</v>
      </c>
      <c r="S647" s="118">
        <f t="shared" si="89"/>
        <v>100000</v>
      </c>
      <c r="T647" s="118">
        <f t="shared" si="91"/>
        <v>55.543212619417908</v>
      </c>
      <c r="U647" s="118">
        <f t="shared" si="90"/>
        <v>55.543212619417908</v>
      </c>
      <c r="V647" s="183">
        <f t="shared" si="84"/>
        <v>0</v>
      </c>
      <c r="W647" s="183"/>
      <c r="X647" s="183"/>
      <c r="Y647" s="64" t="e">
        <f t="shared" si="85"/>
        <v>#N/A</v>
      </c>
      <c r="AA647" s="64" t="e">
        <f t="shared" si="86"/>
        <v>#N/A</v>
      </c>
      <c r="AC647" s="64" t="s">
        <v>103</v>
      </c>
      <c r="AD647" s="64">
        <v>590</v>
      </c>
      <c r="AH647" s="64" t="e">
        <f t="shared" si="87"/>
        <v>#N/A</v>
      </c>
      <c r="AR647" s="64">
        <f>AS647*2207413/I647</f>
        <v>1226.0680959786714</v>
      </c>
      <c r="AS647" s="64">
        <f t="shared" si="88"/>
        <v>1</v>
      </c>
    </row>
    <row r="648" spans="1:45" s="64" customFormat="1" ht="36" customHeight="1" x14ac:dyDescent="0.9">
      <c r="A648" s="64">
        <v>1</v>
      </c>
      <c r="B648" s="92">
        <f>SUBTOTAL(103,$A$548:A648)</f>
        <v>101</v>
      </c>
      <c r="C648" s="91" t="s">
        <v>602</v>
      </c>
      <c r="D648" s="126">
        <v>1962</v>
      </c>
      <c r="E648" s="126"/>
      <c r="F648" s="145" t="s">
        <v>273</v>
      </c>
      <c r="G648" s="126">
        <v>5</v>
      </c>
      <c r="H648" s="126">
        <v>4</v>
      </c>
      <c r="I648" s="117">
        <v>4073.9</v>
      </c>
      <c r="J648" s="117">
        <v>3133.8</v>
      </c>
      <c r="K648" s="117">
        <v>2004.3</v>
      </c>
      <c r="L648" s="127">
        <v>154</v>
      </c>
      <c r="M648" s="126" t="s">
        <v>271</v>
      </c>
      <c r="N648" s="126" t="s">
        <v>275</v>
      </c>
      <c r="O648" s="124" t="s">
        <v>1118</v>
      </c>
      <c r="P648" s="118">
        <v>100000</v>
      </c>
      <c r="Q648" s="118">
        <v>0</v>
      </c>
      <c r="R648" s="118">
        <v>0</v>
      </c>
      <c r="S648" s="118">
        <f t="shared" si="89"/>
        <v>100000</v>
      </c>
      <c r="T648" s="118">
        <f t="shared" si="91"/>
        <v>24.546503350597707</v>
      </c>
      <c r="U648" s="118">
        <f t="shared" si="90"/>
        <v>24.546503350597707</v>
      </c>
      <c r="V648" s="183">
        <f t="shared" si="84"/>
        <v>0</v>
      </c>
      <c r="W648" s="183"/>
      <c r="X648" s="183"/>
      <c r="Y648" s="64">
        <f t="shared" si="85"/>
        <v>1081.8132992955154</v>
      </c>
      <c r="AA648" s="64">
        <f t="shared" si="86"/>
        <v>844</v>
      </c>
      <c r="AC648" s="64" t="s">
        <v>104</v>
      </c>
      <c r="AD648" s="64">
        <v>253</v>
      </c>
      <c r="AH648" s="64" t="e">
        <f t="shared" si="87"/>
        <v>#N/A</v>
      </c>
      <c r="AS648" s="64" t="e">
        <f t="shared" si="88"/>
        <v>#N/A</v>
      </c>
    </row>
    <row r="649" spans="1:45" s="64" customFormat="1" ht="36" customHeight="1" x14ac:dyDescent="0.9">
      <c r="A649" s="64">
        <v>1</v>
      </c>
      <c r="B649" s="92">
        <f>SUBTOTAL(103,$A$548:A649)</f>
        <v>102</v>
      </c>
      <c r="C649" s="91" t="s">
        <v>1685</v>
      </c>
      <c r="D649" s="126">
        <v>1962</v>
      </c>
      <c r="E649" s="126"/>
      <c r="F649" s="145" t="s">
        <v>273</v>
      </c>
      <c r="G649" s="126">
        <v>4</v>
      </c>
      <c r="H649" s="126">
        <v>3</v>
      </c>
      <c r="I649" s="117">
        <v>2132.1</v>
      </c>
      <c r="J649" s="117">
        <v>1746.6</v>
      </c>
      <c r="K649" s="117">
        <v>1691.5</v>
      </c>
      <c r="L649" s="127">
        <v>107</v>
      </c>
      <c r="M649" s="126" t="s">
        <v>271</v>
      </c>
      <c r="N649" s="126" t="s">
        <v>275</v>
      </c>
      <c r="O649" s="124" t="s">
        <v>1118</v>
      </c>
      <c r="P649" s="118">
        <v>100000</v>
      </c>
      <c r="Q649" s="118">
        <v>0</v>
      </c>
      <c r="R649" s="118">
        <v>0</v>
      </c>
      <c r="S649" s="118">
        <f t="shared" si="89"/>
        <v>100000</v>
      </c>
      <c r="T649" s="118">
        <f t="shared" si="91"/>
        <v>46.902115285399375</v>
      </c>
      <c r="U649" s="118">
        <f t="shared" si="90"/>
        <v>46.902115285399375</v>
      </c>
      <c r="V649" s="183">
        <f t="shared" si="84"/>
        <v>0</v>
      </c>
      <c r="W649" s="183"/>
      <c r="X649" s="183"/>
      <c r="Y649" s="64">
        <f t="shared" si="85"/>
        <v>2351.169269734065</v>
      </c>
      <c r="AA649" s="64">
        <f t="shared" si="86"/>
        <v>960</v>
      </c>
      <c r="AC649" s="64" t="s">
        <v>105</v>
      </c>
      <c r="AD649" s="64">
        <v>247</v>
      </c>
      <c r="AH649" s="64" t="e">
        <f t="shared" si="87"/>
        <v>#N/A</v>
      </c>
      <c r="AS649" s="64" t="e">
        <f t="shared" si="88"/>
        <v>#N/A</v>
      </c>
    </row>
    <row r="650" spans="1:45" s="64" customFormat="1" ht="36" customHeight="1" x14ac:dyDescent="0.9">
      <c r="A650" s="64">
        <v>1</v>
      </c>
      <c r="B650" s="92">
        <f>SUBTOTAL(103,$A$548:A650)</f>
        <v>103</v>
      </c>
      <c r="C650" s="91" t="s">
        <v>1686</v>
      </c>
      <c r="D650" s="126">
        <v>1961</v>
      </c>
      <c r="E650" s="126"/>
      <c r="F650" s="145" t="s">
        <v>273</v>
      </c>
      <c r="G650" s="126">
        <v>5</v>
      </c>
      <c r="H650" s="126">
        <v>4</v>
      </c>
      <c r="I650" s="117">
        <v>3214.5</v>
      </c>
      <c r="J650" s="117">
        <v>2566.5</v>
      </c>
      <c r="K650" s="117">
        <v>2416.1999999999998</v>
      </c>
      <c r="L650" s="127">
        <v>167</v>
      </c>
      <c r="M650" s="126" t="s">
        <v>271</v>
      </c>
      <c r="N650" s="126" t="s">
        <v>275</v>
      </c>
      <c r="O650" s="124" t="s">
        <v>1118</v>
      </c>
      <c r="P650" s="118">
        <v>100000</v>
      </c>
      <c r="Q650" s="118">
        <v>0</v>
      </c>
      <c r="R650" s="118">
        <v>0</v>
      </c>
      <c r="S650" s="118">
        <f t="shared" si="89"/>
        <v>100000</v>
      </c>
      <c r="T650" s="118">
        <f t="shared" si="91"/>
        <v>31.109037175299424</v>
      </c>
      <c r="U650" s="118">
        <f t="shared" si="90"/>
        <v>31.109037175299424</v>
      </c>
      <c r="V650" s="183">
        <f t="shared" si="84"/>
        <v>0</v>
      </c>
      <c r="W650" s="183"/>
      <c r="X650" s="183"/>
      <c r="Y650" s="64">
        <f t="shared" si="85"/>
        <v>1746.2855809612693</v>
      </c>
      <c r="AA650" s="64">
        <f t="shared" si="86"/>
        <v>1075</v>
      </c>
      <c r="AC650" s="64" t="s">
        <v>198</v>
      </c>
      <c r="AD650" s="64">
        <v>696</v>
      </c>
      <c r="AH650" s="64" t="e">
        <f t="shared" si="87"/>
        <v>#N/A</v>
      </c>
      <c r="AS650" s="64" t="e">
        <f t="shared" si="88"/>
        <v>#N/A</v>
      </c>
    </row>
    <row r="651" spans="1:45" s="64" customFormat="1" ht="36" customHeight="1" x14ac:dyDescent="0.9">
      <c r="A651" s="64">
        <v>1</v>
      </c>
      <c r="B651" s="92">
        <f>SUBTOTAL(103,$A$548:A651)</f>
        <v>104</v>
      </c>
      <c r="C651" s="91" t="s">
        <v>603</v>
      </c>
      <c r="D651" s="126" t="s">
        <v>369</v>
      </c>
      <c r="E651" s="126"/>
      <c r="F651" s="145" t="s">
        <v>319</v>
      </c>
      <c r="G651" s="126" t="s">
        <v>360</v>
      </c>
      <c r="H651" s="126">
        <v>4</v>
      </c>
      <c r="I651" s="117">
        <v>4425.6000000000004</v>
      </c>
      <c r="J651" s="117">
        <v>3128.2</v>
      </c>
      <c r="K651" s="117">
        <v>1799.3</v>
      </c>
      <c r="L651" s="127">
        <v>137</v>
      </c>
      <c r="M651" s="126" t="s">
        <v>271</v>
      </c>
      <c r="N651" s="126" t="s">
        <v>275</v>
      </c>
      <c r="O651" s="124" t="s">
        <v>1118</v>
      </c>
      <c r="P651" s="118">
        <v>100000</v>
      </c>
      <c r="Q651" s="118">
        <v>0</v>
      </c>
      <c r="R651" s="118">
        <v>0</v>
      </c>
      <c r="S651" s="118">
        <f t="shared" si="89"/>
        <v>100000</v>
      </c>
      <c r="T651" s="118">
        <f t="shared" si="91"/>
        <v>22.595806218365869</v>
      </c>
      <c r="U651" s="118">
        <f t="shared" si="90"/>
        <v>22.595806218365869</v>
      </c>
      <c r="V651" s="183">
        <f t="shared" si="84"/>
        <v>0</v>
      </c>
      <c r="W651" s="183"/>
      <c r="X651" s="183"/>
      <c r="Y651" s="64">
        <f t="shared" si="85"/>
        <v>981.68329718004338</v>
      </c>
      <c r="AA651" s="64">
        <f t="shared" si="86"/>
        <v>832</v>
      </c>
      <c r="AC651" s="64" t="s">
        <v>1400</v>
      </c>
      <c r="AD651" s="64">
        <v>720</v>
      </c>
      <c r="AH651" s="64" t="e">
        <f t="shared" si="87"/>
        <v>#N/A</v>
      </c>
      <c r="AS651" s="64" t="e">
        <f t="shared" si="88"/>
        <v>#N/A</v>
      </c>
    </row>
    <row r="652" spans="1:45" s="64" customFormat="1" ht="36" customHeight="1" x14ac:dyDescent="0.9">
      <c r="A652" s="64">
        <v>1</v>
      </c>
      <c r="B652" s="92">
        <f>SUBTOTAL(103,$A$548:A652)</f>
        <v>105</v>
      </c>
      <c r="C652" s="91" t="s">
        <v>604</v>
      </c>
      <c r="D652" s="126" t="s">
        <v>379</v>
      </c>
      <c r="E652" s="126"/>
      <c r="F652" s="145" t="s">
        <v>319</v>
      </c>
      <c r="G652" s="126" t="s">
        <v>360</v>
      </c>
      <c r="H652" s="126">
        <v>3</v>
      </c>
      <c r="I652" s="117">
        <v>2899.7</v>
      </c>
      <c r="J652" s="117">
        <v>2636.4</v>
      </c>
      <c r="K652" s="117">
        <v>2071.8000000000002</v>
      </c>
      <c r="L652" s="127">
        <v>83</v>
      </c>
      <c r="M652" s="126" t="s">
        <v>271</v>
      </c>
      <c r="N652" s="126" t="s">
        <v>275</v>
      </c>
      <c r="O652" s="124" t="s">
        <v>1102</v>
      </c>
      <c r="P652" s="118">
        <v>100000</v>
      </c>
      <c r="Q652" s="118">
        <v>0</v>
      </c>
      <c r="R652" s="118">
        <v>0</v>
      </c>
      <c r="S652" s="118">
        <f t="shared" si="89"/>
        <v>100000</v>
      </c>
      <c r="T652" s="118">
        <f t="shared" si="91"/>
        <v>34.486326171672935</v>
      </c>
      <c r="U652" s="118">
        <f t="shared" si="90"/>
        <v>34.486326171672935</v>
      </c>
      <c r="V652" s="183">
        <f t="shared" si="84"/>
        <v>0</v>
      </c>
      <c r="W652" s="183"/>
      <c r="X652" s="183"/>
      <c r="Y652" s="64">
        <f t="shared" si="85"/>
        <v>1119.2015380901473</v>
      </c>
      <c r="AA652" s="64">
        <f t="shared" si="86"/>
        <v>621.5</v>
      </c>
      <c r="AC652" s="64" t="s">
        <v>819</v>
      </c>
      <c r="AD652" s="64">
        <v>351</v>
      </c>
      <c r="AH652" s="64" t="e">
        <f t="shared" si="87"/>
        <v>#N/A</v>
      </c>
      <c r="AS652" s="64" t="e">
        <f t="shared" si="88"/>
        <v>#N/A</v>
      </c>
    </row>
    <row r="653" spans="1:45" s="64" customFormat="1" ht="36" customHeight="1" x14ac:dyDescent="0.9">
      <c r="A653" s="64">
        <v>1</v>
      </c>
      <c r="B653" s="92">
        <f>SUBTOTAL(103,$A$548:A653)</f>
        <v>106</v>
      </c>
      <c r="C653" s="91" t="s">
        <v>605</v>
      </c>
      <c r="D653" s="126">
        <v>1959</v>
      </c>
      <c r="E653" s="126"/>
      <c r="F653" s="145" t="s">
        <v>273</v>
      </c>
      <c r="G653" s="126">
        <v>5</v>
      </c>
      <c r="H653" s="126">
        <v>3</v>
      </c>
      <c r="I653" s="117">
        <v>5255.6</v>
      </c>
      <c r="J653" s="117">
        <v>3803.1</v>
      </c>
      <c r="K653" s="117">
        <v>2288.9</v>
      </c>
      <c r="L653" s="127">
        <v>136</v>
      </c>
      <c r="M653" s="126" t="s">
        <v>271</v>
      </c>
      <c r="N653" s="126" t="s">
        <v>275</v>
      </c>
      <c r="O653" s="124" t="s">
        <v>1118</v>
      </c>
      <c r="P653" s="118">
        <v>100000</v>
      </c>
      <c r="Q653" s="118">
        <v>0</v>
      </c>
      <c r="R653" s="118">
        <v>0</v>
      </c>
      <c r="S653" s="118">
        <f t="shared" si="89"/>
        <v>100000</v>
      </c>
      <c r="T653" s="118">
        <f t="shared" si="91"/>
        <v>19.027323236167135</v>
      </c>
      <c r="U653" s="118">
        <f t="shared" si="90"/>
        <v>19.027323236167135</v>
      </c>
      <c r="V653" s="183">
        <f t="shared" si="84"/>
        <v>0</v>
      </c>
      <c r="W653" s="183"/>
      <c r="X653" s="183"/>
      <c r="Y653" s="64">
        <f t="shared" si="85"/>
        <v>1437.6940025877159</v>
      </c>
      <c r="AA653" s="64">
        <f t="shared" si="86"/>
        <v>1447</v>
      </c>
      <c r="AC653" s="64" t="s">
        <v>201</v>
      </c>
      <c r="AD653" s="64">
        <v>376</v>
      </c>
      <c r="AH653" s="64" t="e">
        <f t="shared" si="87"/>
        <v>#N/A</v>
      </c>
      <c r="AS653" s="64" t="e">
        <f t="shared" si="88"/>
        <v>#N/A</v>
      </c>
    </row>
    <row r="654" spans="1:45" s="64" customFormat="1" ht="36" customHeight="1" x14ac:dyDescent="0.9">
      <c r="A654" s="64">
        <v>1</v>
      </c>
      <c r="B654" s="92">
        <f>SUBTOTAL(103,$A$548:A654)</f>
        <v>107</v>
      </c>
      <c r="C654" s="91" t="s">
        <v>606</v>
      </c>
      <c r="D654" s="126" t="s">
        <v>370</v>
      </c>
      <c r="E654" s="126"/>
      <c r="F654" s="145" t="s">
        <v>273</v>
      </c>
      <c r="G654" s="126" t="s">
        <v>360</v>
      </c>
      <c r="H654" s="126">
        <v>3</v>
      </c>
      <c r="I654" s="117">
        <v>2923.9</v>
      </c>
      <c r="J654" s="117">
        <v>2704.4</v>
      </c>
      <c r="K654" s="117">
        <v>1930.7</v>
      </c>
      <c r="L654" s="127">
        <v>105</v>
      </c>
      <c r="M654" s="126" t="s">
        <v>271</v>
      </c>
      <c r="N654" s="126" t="s">
        <v>275</v>
      </c>
      <c r="O654" s="124" t="s">
        <v>1703</v>
      </c>
      <c r="P654" s="118">
        <v>100000</v>
      </c>
      <c r="Q654" s="118">
        <v>0</v>
      </c>
      <c r="R654" s="118">
        <v>0</v>
      </c>
      <c r="S654" s="118">
        <f t="shared" si="89"/>
        <v>100000</v>
      </c>
      <c r="T654" s="118">
        <f t="shared" si="91"/>
        <v>34.200896063476861</v>
      </c>
      <c r="U654" s="118">
        <f t="shared" si="90"/>
        <v>34.200896063476861</v>
      </c>
      <c r="V654" s="183">
        <f t="shared" si="84"/>
        <v>0</v>
      </c>
      <c r="W654" s="183"/>
      <c r="X654" s="183"/>
      <c r="Y654" s="64" t="e">
        <f t="shared" si="85"/>
        <v>#N/A</v>
      </c>
      <c r="AA654" s="64" t="e">
        <f t="shared" si="86"/>
        <v>#N/A</v>
      </c>
      <c r="AC654" s="64" t="s">
        <v>218</v>
      </c>
      <c r="AD654" s="64">
        <v>1177</v>
      </c>
      <c r="AG654" s="64">
        <f>AH654*6191.24/J654</f>
        <v>3516.3972193462505</v>
      </c>
      <c r="AH654" s="64">
        <f t="shared" si="87"/>
        <v>1536</v>
      </c>
      <c r="AS654" s="64" t="e">
        <f t="shared" si="88"/>
        <v>#N/A</v>
      </c>
    </row>
    <row r="655" spans="1:45" s="64" customFormat="1" ht="36" customHeight="1" x14ac:dyDescent="0.9">
      <c r="A655" s="64">
        <v>1</v>
      </c>
      <c r="B655" s="92">
        <f>SUBTOTAL(103,$A$548:A655)</f>
        <v>108</v>
      </c>
      <c r="C655" s="91" t="s">
        <v>607</v>
      </c>
      <c r="D655" s="126" t="s">
        <v>321</v>
      </c>
      <c r="E655" s="126"/>
      <c r="F655" s="145" t="s">
        <v>319</v>
      </c>
      <c r="G655" s="126" t="s">
        <v>360</v>
      </c>
      <c r="H655" s="126">
        <v>5</v>
      </c>
      <c r="I655" s="117">
        <v>4700.6000000000004</v>
      </c>
      <c r="J655" s="117">
        <v>3460</v>
      </c>
      <c r="K655" s="117">
        <v>3460</v>
      </c>
      <c r="L655" s="127">
        <v>133</v>
      </c>
      <c r="M655" s="126" t="s">
        <v>271</v>
      </c>
      <c r="N655" s="126" t="s">
        <v>275</v>
      </c>
      <c r="O655" s="124" t="s">
        <v>1704</v>
      </c>
      <c r="P655" s="118">
        <v>100000</v>
      </c>
      <c r="Q655" s="118">
        <v>0</v>
      </c>
      <c r="R655" s="118">
        <v>0</v>
      </c>
      <c r="S655" s="118">
        <f t="shared" si="89"/>
        <v>100000</v>
      </c>
      <c r="T655" s="118">
        <f t="shared" si="91"/>
        <v>21.273879930221671</v>
      </c>
      <c r="U655" s="118">
        <f t="shared" si="90"/>
        <v>21.273879930221671</v>
      </c>
      <c r="V655" s="183">
        <f t="shared" si="84"/>
        <v>0</v>
      </c>
      <c r="W655" s="183"/>
      <c r="X655" s="183"/>
      <c r="Y655" s="64">
        <f t="shared" si="85"/>
        <v>1043.2269029485597</v>
      </c>
      <c r="AA655" s="64">
        <f t="shared" si="86"/>
        <v>939.1</v>
      </c>
      <c r="AC655" s="64" t="s">
        <v>219</v>
      </c>
      <c r="AD655" s="64">
        <v>796</v>
      </c>
      <c r="AH655" s="64" t="e">
        <f t="shared" si="87"/>
        <v>#N/A</v>
      </c>
      <c r="AS655" s="64" t="e">
        <f t="shared" si="88"/>
        <v>#N/A</v>
      </c>
    </row>
    <row r="656" spans="1:45" s="64" customFormat="1" ht="36" customHeight="1" x14ac:dyDescent="0.9">
      <c r="A656" s="64">
        <v>1</v>
      </c>
      <c r="B656" s="92">
        <f>SUBTOTAL(103,$A$548:A656)</f>
        <v>109</v>
      </c>
      <c r="C656" s="91" t="s">
        <v>608</v>
      </c>
      <c r="D656" s="126" t="s">
        <v>318</v>
      </c>
      <c r="E656" s="126"/>
      <c r="F656" s="145" t="s">
        <v>273</v>
      </c>
      <c r="G656" s="126" t="s">
        <v>360</v>
      </c>
      <c r="H656" s="126">
        <v>4</v>
      </c>
      <c r="I656" s="117">
        <v>2288.5</v>
      </c>
      <c r="J656" s="117">
        <v>2288.5</v>
      </c>
      <c r="K656" s="117">
        <v>2288.5</v>
      </c>
      <c r="L656" s="127">
        <v>98</v>
      </c>
      <c r="M656" s="126" t="s">
        <v>271</v>
      </c>
      <c r="N656" s="126" t="s">
        <v>275</v>
      </c>
      <c r="O656" s="124" t="s">
        <v>1691</v>
      </c>
      <c r="P656" s="118">
        <v>100000</v>
      </c>
      <c r="Q656" s="118">
        <v>0</v>
      </c>
      <c r="R656" s="118">
        <v>0</v>
      </c>
      <c r="S656" s="118">
        <f t="shared" si="89"/>
        <v>100000</v>
      </c>
      <c r="T656" s="118">
        <f t="shared" si="91"/>
        <v>43.696744592527857</v>
      </c>
      <c r="U656" s="118">
        <f t="shared" si="90"/>
        <v>43.696744592527857</v>
      </c>
      <c r="V656" s="183">
        <f t="shared" si="84"/>
        <v>0</v>
      </c>
      <c r="W656" s="183"/>
      <c r="X656" s="183"/>
      <c r="Y656" s="64">
        <f t="shared" si="85"/>
        <v>1341.6728861699803</v>
      </c>
      <c r="AA656" s="64">
        <f t="shared" si="86"/>
        <v>588</v>
      </c>
      <c r="AC656" s="64" t="s">
        <v>220</v>
      </c>
      <c r="AD656" s="64">
        <v>849</v>
      </c>
      <c r="AH656" s="64" t="e">
        <f t="shared" si="87"/>
        <v>#N/A</v>
      </c>
      <c r="AS656" s="64" t="e">
        <f t="shared" si="88"/>
        <v>#N/A</v>
      </c>
    </row>
    <row r="657" spans="1:45" s="64" customFormat="1" ht="36" customHeight="1" x14ac:dyDescent="0.9">
      <c r="A657" s="64">
        <v>1</v>
      </c>
      <c r="B657" s="92">
        <f>SUBTOTAL(103,$A$548:A657)</f>
        <v>110</v>
      </c>
      <c r="C657" s="91" t="s">
        <v>609</v>
      </c>
      <c r="D657" s="126">
        <v>1961</v>
      </c>
      <c r="E657" s="126"/>
      <c r="F657" s="145" t="s">
        <v>273</v>
      </c>
      <c r="G657" s="126">
        <v>5</v>
      </c>
      <c r="H657" s="126">
        <v>2</v>
      </c>
      <c r="I657" s="117">
        <v>1703.9</v>
      </c>
      <c r="J657" s="117">
        <v>1558.5</v>
      </c>
      <c r="K657" s="117">
        <v>1516.4</v>
      </c>
      <c r="L657" s="127">
        <v>58</v>
      </c>
      <c r="M657" s="126" t="s">
        <v>271</v>
      </c>
      <c r="N657" s="126" t="s">
        <v>275</v>
      </c>
      <c r="O657" s="124" t="s">
        <v>1427</v>
      </c>
      <c r="P657" s="118">
        <v>120000.25</v>
      </c>
      <c r="Q657" s="118">
        <v>0</v>
      </c>
      <c r="R657" s="118">
        <v>0</v>
      </c>
      <c r="S657" s="118">
        <f t="shared" si="89"/>
        <v>120000.25</v>
      </c>
      <c r="T657" s="118">
        <f t="shared" si="91"/>
        <v>70.426814953929224</v>
      </c>
      <c r="U657" s="118">
        <f t="shared" si="90"/>
        <v>70.426814953929224</v>
      </c>
      <c r="V657" s="183">
        <f t="shared" ref="V657:V720" si="92">U657-T657</f>
        <v>0</v>
      </c>
      <c r="W657" s="183"/>
      <c r="X657" s="183"/>
      <c r="Y657" s="64" t="e">
        <f t="shared" ref="Y657:Y720" si="93">AA657*5221.8/I657</f>
        <v>#N/A</v>
      </c>
      <c r="AA657" s="64" t="e">
        <f t="shared" ref="AA657:AA720" si="94">VLOOKUP(C657,AC:AE,2,FALSE)</f>
        <v>#N/A</v>
      </c>
      <c r="AC657" s="64" t="s">
        <v>226</v>
      </c>
      <c r="AD657" s="64">
        <v>666</v>
      </c>
      <c r="AG657" s="64">
        <f>AH657*6191.24/J657</f>
        <v>5660.9027911453322</v>
      </c>
      <c r="AH657" s="64">
        <f t="shared" ref="AH657:AH720" si="95">VLOOKUP(C657,AJ:AK,2,FALSE)</f>
        <v>1425</v>
      </c>
      <c r="AS657" s="64" t="e">
        <f t="shared" ref="AS657:AS720" si="96">VLOOKUP(C657,AU:AV,2,FALSE)</f>
        <v>#N/A</v>
      </c>
    </row>
    <row r="658" spans="1:45" s="64" customFormat="1" ht="36" customHeight="1" x14ac:dyDescent="0.9">
      <c r="A658" s="64">
        <v>1</v>
      </c>
      <c r="B658" s="92">
        <f>SUBTOTAL(103,$A$548:A658)</f>
        <v>111</v>
      </c>
      <c r="C658" s="91" t="s">
        <v>610</v>
      </c>
      <c r="D658" s="126" t="s">
        <v>386</v>
      </c>
      <c r="E658" s="126"/>
      <c r="F658" s="145" t="s">
        <v>319</v>
      </c>
      <c r="G658" s="126" t="s">
        <v>360</v>
      </c>
      <c r="H658" s="126">
        <v>3</v>
      </c>
      <c r="I658" s="117">
        <v>2065.4</v>
      </c>
      <c r="J658" s="117">
        <v>1169.5</v>
      </c>
      <c r="K658" s="117">
        <v>1169.5</v>
      </c>
      <c r="L658" s="127">
        <v>91</v>
      </c>
      <c r="M658" s="126" t="s">
        <v>271</v>
      </c>
      <c r="N658" s="126" t="s">
        <v>275</v>
      </c>
      <c r="O658" s="124" t="s">
        <v>1698</v>
      </c>
      <c r="P658" s="118">
        <v>100000</v>
      </c>
      <c r="Q658" s="118">
        <v>0</v>
      </c>
      <c r="R658" s="118">
        <v>0</v>
      </c>
      <c r="S658" s="118">
        <f t="shared" si="89"/>
        <v>100000</v>
      </c>
      <c r="T658" s="118">
        <f t="shared" si="91"/>
        <v>48.416771569671731</v>
      </c>
      <c r="U658" s="118">
        <f t="shared" si="90"/>
        <v>48.416771569671731</v>
      </c>
      <c r="V658" s="183">
        <f t="shared" si="92"/>
        <v>0</v>
      </c>
      <c r="W658" s="183"/>
      <c r="X658" s="183"/>
      <c r="Y658" s="64">
        <f t="shared" si="93"/>
        <v>1420.8635615377166</v>
      </c>
      <c r="AA658" s="64">
        <f t="shared" si="94"/>
        <v>562</v>
      </c>
      <c r="AH658" s="64" t="e">
        <f t="shared" si="95"/>
        <v>#N/A</v>
      </c>
      <c r="AS658" s="64" t="e">
        <f t="shared" si="96"/>
        <v>#N/A</v>
      </c>
    </row>
    <row r="659" spans="1:45" s="64" customFormat="1" ht="36" customHeight="1" x14ac:dyDescent="0.9">
      <c r="A659" s="64">
        <v>1</v>
      </c>
      <c r="B659" s="92">
        <f>SUBTOTAL(103,$A$548:A659)</f>
        <v>112</v>
      </c>
      <c r="C659" s="91" t="s">
        <v>611</v>
      </c>
      <c r="D659" s="126">
        <v>1972</v>
      </c>
      <c r="E659" s="126"/>
      <c r="F659" s="145" t="s">
        <v>273</v>
      </c>
      <c r="G659" s="126">
        <v>9</v>
      </c>
      <c r="H659" s="126">
        <v>1</v>
      </c>
      <c r="I659" s="117">
        <v>1896.4</v>
      </c>
      <c r="J659" s="117">
        <v>1896.4</v>
      </c>
      <c r="K659" s="117">
        <v>1859.1</v>
      </c>
      <c r="L659" s="127">
        <v>135</v>
      </c>
      <c r="M659" s="126" t="s">
        <v>271</v>
      </c>
      <c r="N659" s="126" t="s">
        <v>275</v>
      </c>
      <c r="O659" s="124" t="s">
        <v>1415</v>
      </c>
      <c r="P659" s="118">
        <v>100000</v>
      </c>
      <c r="Q659" s="118">
        <v>0</v>
      </c>
      <c r="R659" s="118">
        <v>0</v>
      </c>
      <c r="S659" s="118">
        <f t="shared" si="89"/>
        <v>100000</v>
      </c>
      <c r="T659" s="118">
        <f t="shared" si="91"/>
        <v>52.731491246572453</v>
      </c>
      <c r="U659" s="118">
        <f t="shared" si="90"/>
        <v>52.731491246572453</v>
      </c>
      <c r="V659" s="183">
        <f t="shared" si="92"/>
        <v>0</v>
      </c>
      <c r="W659" s="183"/>
      <c r="X659" s="183"/>
      <c r="Y659" s="64">
        <f t="shared" si="93"/>
        <v>1101.413203965408</v>
      </c>
      <c r="AA659" s="64">
        <f t="shared" si="94"/>
        <v>400</v>
      </c>
      <c r="AH659" s="64" t="e">
        <f t="shared" si="95"/>
        <v>#N/A</v>
      </c>
      <c r="AS659" s="64" t="e">
        <f t="shared" si="96"/>
        <v>#N/A</v>
      </c>
    </row>
    <row r="660" spans="1:45" s="64" customFormat="1" ht="36" customHeight="1" x14ac:dyDescent="0.9">
      <c r="A660" s="64">
        <v>1</v>
      </c>
      <c r="B660" s="92">
        <f>SUBTOTAL(103,$A$548:A660)</f>
        <v>113</v>
      </c>
      <c r="C660" s="91" t="s">
        <v>612</v>
      </c>
      <c r="D660" s="126" t="s">
        <v>324</v>
      </c>
      <c r="E660" s="126"/>
      <c r="F660" s="145" t="s">
        <v>319</v>
      </c>
      <c r="G660" s="126" t="s">
        <v>360</v>
      </c>
      <c r="H660" s="126">
        <v>4</v>
      </c>
      <c r="I660" s="117">
        <v>3873.3</v>
      </c>
      <c r="J660" s="117">
        <v>3605.48</v>
      </c>
      <c r="K660" s="117">
        <v>3540.2</v>
      </c>
      <c r="L660" s="127">
        <v>165</v>
      </c>
      <c r="M660" s="126" t="s">
        <v>271</v>
      </c>
      <c r="N660" s="126" t="s">
        <v>275</v>
      </c>
      <c r="O660" s="124" t="s">
        <v>1102</v>
      </c>
      <c r="P660" s="118">
        <v>100000</v>
      </c>
      <c r="Q660" s="118">
        <v>0</v>
      </c>
      <c r="R660" s="118">
        <v>0</v>
      </c>
      <c r="S660" s="118">
        <f t="shared" si="89"/>
        <v>100000</v>
      </c>
      <c r="T660" s="118">
        <f t="shared" si="91"/>
        <v>25.817778122014818</v>
      </c>
      <c r="U660" s="118">
        <f t="shared" si="90"/>
        <v>25.817778122014818</v>
      </c>
      <c r="V660" s="183">
        <f t="shared" si="92"/>
        <v>0</v>
      </c>
      <c r="W660" s="183"/>
      <c r="X660" s="183"/>
      <c r="Y660" s="64">
        <f t="shared" si="93"/>
        <v>1294.226628456355</v>
      </c>
      <c r="AA660" s="64">
        <f t="shared" si="94"/>
        <v>960</v>
      </c>
      <c r="AH660" s="64" t="e">
        <f t="shared" si="95"/>
        <v>#N/A</v>
      </c>
      <c r="AS660" s="64" t="e">
        <f t="shared" si="96"/>
        <v>#N/A</v>
      </c>
    </row>
    <row r="661" spans="1:45" s="64" customFormat="1" ht="36" customHeight="1" x14ac:dyDescent="0.9">
      <c r="A661" s="64">
        <v>1</v>
      </c>
      <c r="B661" s="92">
        <f>SUBTOTAL(103,$A$548:A661)</f>
        <v>114</v>
      </c>
      <c r="C661" s="91" t="s">
        <v>613</v>
      </c>
      <c r="D661" s="126" t="s">
        <v>387</v>
      </c>
      <c r="E661" s="126"/>
      <c r="F661" s="145" t="s">
        <v>319</v>
      </c>
      <c r="G661" s="126" t="s">
        <v>360</v>
      </c>
      <c r="H661" s="126">
        <v>4</v>
      </c>
      <c r="I661" s="117">
        <v>3881.3</v>
      </c>
      <c r="J661" s="117">
        <v>3615.9</v>
      </c>
      <c r="K661" s="117">
        <v>3551.2</v>
      </c>
      <c r="L661" s="127">
        <v>182</v>
      </c>
      <c r="M661" s="126" t="s">
        <v>271</v>
      </c>
      <c r="N661" s="126" t="s">
        <v>275</v>
      </c>
      <c r="O661" s="124" t="s">
        <v>1102</v>
      </c>
      <c r="P661" s="118">
        <v>100000</v>
      </c>
      <c r="Q661" s="118">
        <v>0</v>
      </c>
      <c r="R661" s="118">
        <v>0</v>
      </c>
      <c r="S661" s="118">
        <f t="shared" si="89"/>
        <v>100000</v>
      </c>
      <c r="T661" s="118">
        <f t="shared" ref="T661:T680" si="97">P661/I818</f>
        <v>161.73378618793467</v>
      </c>
      <c r="U661" s="118">
        <f t="shared" si="90"/>
        <v>161.73378618793467</v>
      </c>
      <c r="V661" s="183">
        <f t="shared" si="92"/>
        <v>0</v>
      </c>
      <c r="W661" s="183"/>
      <c r="X661" s="183"/>
      <c r="Y661" s="64">
        <f t="shared" si="93"/>
        <v>1291.5590137325123</v>
      </c>
      <c r="AA661" s="64">
        <f t="shared" si="94"/>
        <v>960</v>
      </c>
      <c r="AH661" s="64" t="e">
        <f t="shared" si="95"/>
        <v>#N/A</v>
      </c>
      <c r="AS661" s="64" t="e">
        <f t="shared" si="96"/>
        <v>#N/A</v>
      </c>
    </row>
    <row r="662" spans="1:45" s="64" customFormat="1" ht="36" customHeight="1" x14ac:dyDescent="0.9">
      <c r="A662" s="64">
        <v>1</v>
      </c>
      <c r="B662" s="92">
        <f>SUBTOTAL(103,$A$548:A662)</f>
        <v>115</v>
      </c>
      <c r="C662" s="91" t="s">
        <v>614</v>
      </c>
      <c r="D662" s="126" t="s">
        <v>359</v>
      </c>
      <c r="E662" s="126"/>
      <c r="F662" s="145" t="s">
        <v>273</v>
      </c>
      <c r="G662" s="126" t="s">
        <v>366</v>
      </c>
      <c r="H662" s="126">
        <v>1</v>
      </c>
      <c r="I662" s="117">
        <v>1835.8</v>
      </c>
      <c r="J662" s="117">
        <v>1835.8</v>
      </c>
      <c r="K662" s="117">
        <v>1783.4</v>
      </c>
      <c r="L662" s="127">
        <v>76</v>
      </c>
      <c r="M662" s="126" t="s">
        <v>271</v>
      </c>
      <c r="N662" s="126" t="s">
        <v>275</v>
      </c>
      <c r="O662" s="124" t="s">
        <v>1691</v>
      </c>
      <c r="P662" s="118">
        <v>100000</v>
      </c>
      <c r="Q662" s="118">
        <v>0</v>
      </c>
      <c r="R662" s="118">
        <v>0</v>
      </c>
      <c r="S662" s="118">
        <f t="shared" si="89"/>
        <v>100000</v>
      </c>
      <c r="T662" s="118">
        <f t="shared" si="97"/>
        <v>32.406507226651108</v>
      </c>
      <c r="U662" s="118">
        <f t="shared" si="90"/>
        <v>32.406507226651108</v>
      </c>
      <c r="V662" s="183">
        <f t="shared" si="92"/>
        <v>0</v>
      </c>
      <c r="W662" s="183"/>
      <c r="X662" s="183"/>
      <c r="Y662" s="64">
        <f t="shared" si="93"/>
        <v>1037.647151105785</v>
      </c>
      <c r="AA662" s="64">
        <f t="shared" si="94"/>
        <v>364.8</v>
      </c>
      <c r="AH662" s="64" t="e">
        <f t="shared" si="95"/>
        <v>#N/A</v>
      </c>
      <c r="AS662" s="64" t="e">
        <f t="shared" si="96"/>
        <v>#N/A</v>
      </c>
    </row>
    <row r="663" spans="1:45" s="64" customFormat="1" ht="36" customHeight="1" x14ac:dyDescent="0.9">
      <c r="A663" s="64">
        <v>1</v>
      </c>
      <c r="B663" s="92">
        <f>SUBTOTAL(103,$A$548:A663)</f>
        <v>116</v>
      </c>
      <c r="C663" s="91" t="s">
        <v>615</v>
      </c>
      <c r="D663" s="126" t="s">
        <v>388</v>
      </c>
      <c r="E663" s="126"/>
      <c r="F663" s="145" t="s">
        <v>319</v>
      </c>
      <c r="G663" s="126" t="s">
        <v>360</v>
      </c>
      <c r="H663" s="126">
        <v>4</v>
      </c>
      <c r="I663" s="117">
        <v>3888.9</v>
      </c>
      <c r="J663" s="117">
        <v>3557.1</v>
      </c>
      <c r="K663" s="117">
        <v>3511.4</v>
      </c>
      <c r="L663" s="127">
        <v>169</v>
      </c>
      <c r="M663" s="126" t="s">
        <v>271</v>
      </c>
      <c r="N663" s="126" t="s">
        <v>275</v>
      </c>
      <c r="O663" s="124" t="s">
        <v>1102</v>
      </c>
      <c r="P663" s="118">
        <v>100000</v>
      </c>
      <c r="Q663" s="118">
        <v>0</v>
      </c>
      <c r="R663" s="118">
        <v>0</v>
      </c>
      <c r="S663" s="118">
        <f t="shared" si="89"/>
        <v>100000</v>
      </c>
      <c r="T663" s="118">
        <f t="shared" si="97"/>
        <v>32.406507226651108</v>
      </c>
      <c r="U663" s="118">
        <f t="shared" si="90"/>
        <v>32.406507226651108</v>
      </c>
      <c r="V663" s="183">
        <f t="shared" si="92"/>
        <v>0</v>
      </c>
      <c r="W663" s="183"/>
      <c r="X663" s="183"/>
      <c r="Y663" s="64">
        <f t="shared" si="93"/>
        <v>1289.0349456144411</v>
      </c>
      <c r="AA663" s="64">
        <f t="shared" si="94"/>
        <v>960</v>
      </c>
      <c r="AH663" s="64" t="e">
        <f t="shared" si="95"/>
        <v>#N/A</v>
      </c>
      <c r="AS663" s="64" t="e">
        <f t="shared" si="96"/>
        <v>#N/A</v>
      </c>
    </row>
    <row r="664" spans="1:45" s="64" customFormat="1" ht="36" customHeight="1" x14ac:dyDescent="0.9">
      <c r="A664" s="64">
        <v>1</v>
      </c>
      <c r="B664" s="92">
        <f>SUBTOTAL(103,$A$548:A664)</f>
        <v>117</v>
      </c>
      <c r="C664" s="91" t="s">
        <v>616</v>
      </c>
      <c r="D664" s="126" t="s">
        <v>388</v>
      </c>
      <c r="E664" s="126"/>
      <c r="F664" s="145" t="s">
        <v>319</v>
      </c>
      <c r="G664" s="126" t="s">
        <v>360</v>
      </c>
      <c r="H664" s="126">
        <v>4</v>
      </c>
      <c r="I664" s="117">
        <v>3854.3</v>
      </c>
      <c r="J664" s="117">
        <v>3599.34</v>
      </c>
      <c r="K664" s="117">
        <v>3550.2</v>
      </c>
      <c r="L664" s="127">
        <v>173</v>
      </c>
      <c r="M664" s="126" t="s">
        <v>271</v>
      </c>
      <c r="N664" s="126" t="s">
        <v>275</v>
      </c>
      <c r="O664" s="124" t="s">
        <v>1102</v>
      </c>
      <c r="P664" s="118">
        <v>100000</v>
      </c>
      <c r="Q664" s="118">
        <v>0</v>
      </c>
      <c r="R664" s="118">
        <v>0</v>
      </c>
      <c r="S664" s="118">
        <f t="shared" si="89"/>
        <v>100000</v>
      </c>
      <c r="T664" s="118">
        <f t="shared" si="97"/>
        <v>6.082355087890031</v>
      </c>
      <c r="U664" s="118">
        <f t="shared" si="90"/>
        <v>6.082355087890031</v>
      </c>
      <c r="V664" s="183">
        <f t="shared" si="92"/>
        <v>0</v>
      </c>
      <c r="W664" s="183"/>
      <c r="X664" s="183"/>
      <c r="Y664" s="64">
        <f t="shared" si="93"/>
        <v>1300.6065952312999</v>
      </c>
      <c r="AA664" s="64">
        <f t="shared" si="94"/>
        <v>960</v>
      </c>
      <c r="AH664" s="64" t="e">
        <f t="shared" si="95"/>
        <v>#N/A</v>
      </c>
      <c r="AS664" s="64" t="e">
        <f t="shared" si="96"/>
        <v>#N/A</v>
      </c>
    </row>
    <row r="665" spans="1:45" s="64" customFormat="1" ht="36" customHeight="1" x14ac:dyDescent="0.9">
      <c r="A665" s="64">
        <v>1</v>
      </c>
      <c r="B665" s="92">
        <f>SUBTOTAL(103,$A$548:A665)</f>
        <v>118</v>
      </c>
      <c r="C665" s="91" t="s">
        <v>617</v>
      </c>
      <c r="D665" s="126" t="s">
        <v>383</v>
      </c>
      <c r="E665" s="126"/>
      <c r="F665" s="145" t="s">
        <v>273</v>
      </c>
      <c r="G665" s="126" t="s">
        <v>360</v>
      </c>
      <c r="H665" s="126">
        <v>3</v>
      </c>
      <c r="I665" s="117">
        <v>2600.9</v>
      </c>
      <c r="J665" s="117">
        <v>2217.3000000000002</v>
      </c>
      <c r="K665" s="117">
        <v>2217.3000000000002</v>
      </c>
      <c r="L665" s="127">
        <v>72</v>
      </c>
      <c r="M665" s="126" t="s">
        <v>271</v>
      </c>
      <c r="N665" s="126" t="s">
        <v>275</v>
      </c>
      <c r="O665" s="124" t="s">
        <v>1413</v>
      </c>
      <c r="P665" s="118">
        <v>100000</v>
      </c>
      <c r="Q665" s="118">
        <v>0</v>
      </c>
      <c r="R665" s="118">
        <v>0</v>
      </c>
      <c r="S665" s="118">
        <f t="shared" si="89"/>
        <v>100000</v>
      </c>
      <c r="T665" s="118">
        <f t="shared" si="97"/>
        <v>30.797659377887282</v>
      </c>
      <c r="U665" s="118">
        <f t="shared" si="90"/>
        <v>30.797659377887282</v>
      </c>
      <c r="V665" s="183">
        <f t="shared" si="92"/>
        <v>0</v>
      </c>
      <c r="W665" s="183"/>
      <c r="X665" s="183"/>
      <c r="Y665" s="64">
        <f t="shared" si="93"/>
        <v>1345.1520627475104</v>
      </c>
      <c r="AA665" s="64">
        <f t="shared" si="94"/>
        <v>670</v>
      </c>
      <c r="AH665" s="64" t="e">
        <f t="shared" si="95"/>
        <v>#N/A</v>
      </c>
      <c r="AS665" s="64" t="e">
        <f t="shared" si="96"/>
        <v>#N/A</v>
      </c>
    </row>
    <row r="666" spans="1:45" s="64" customFormat="1" ht="36" customHeight="1" x14ac:dyDescent="0.9">
      <c r="A666" s="64">
        <v>1</v>
      </c>
      <c r="B666" s="92">
        <f>SUBTOTAL(103,$A$548:A666)</f>
        <v>119</v>
      </c>
      <c r="C666" s="91" t="s">
        <v>618</v>
      </c>
      <c r="D666" s="126" t="s">
        <v>378</v>
      </c>
      <c r="E666" s="126"/>
      <c r="F666" s="145" t="s">
        <v>273</v>
      </c>
      <c r="G666" s="126" t="s">
        <v>360</v>
      </c>
      <c r="H666" s="126">
        <v>1</v>
      </c>
      <c r="I666" s="117">
        <v>1129.8</v>
      </c>
      <c r="J666" s="117">
        <v>1033.3</v>
      </c>
      <c r="K666" s="117">
        <v>841.7</v>
      </c>
      <c r="L666" s="127">
        <v>41</v>
      </c>
      <c r="M666" s="126" t="s">
        <v>271</v>
      </c>
      <c r="N666" s="126" t="s">
        <v>275</v>
      </c>
      <c r="O666" s="124" t="s">
        <v>1427</v>
      </c>
      <c r="P666" s="118">
        <v>70000</v>
      </c>
      <c r="Q666" s="118">
        <v>0</v>
      </c>
      <c r="R666" s="118">
        <v>0</v>
      </c>
      <c r="S666" s="118">
        <f t="shared" si="89"/>
        <v>70000</v>
      </c>
      <c r="T666" s="118">
        <f t="shared" si="97"/>
        <v>11.765299090710457</v>
      </c>
      <c r="U666" s="118">
        <f t="shared" si="90"/>
        <v>11.765299090710457</v>
      </c>
      <c r="V666" s="183">
        <f t="shared" si="92"/>
        <v>0</v>
      </c>
      <c r="W666" s="183"/>
      <c r="X666" s="183"/>
      <c r="Y666" s="64">
        <f t="shared" si="93"/>
        <v>1086.141795007966</v>
      </c>
      <c r="AA666" s="64">
        <f t="shared" si="94"/>
        <v>235</v>
      </c>
      <c r="AH666" s="64" t="e">
        <f t="shared" si="95"/>
        <v>#N/A</v>
      </c>
      <c r="AS666" s="64" t="e">
        <f t="shared" si="96"/>
        <v>#N/A</v>
      </c>
    </row>
    <row r="667" spans="1:45" s="64" customFormat="1" ht="36" customHeight="1" x14ac:dyDescent="0.9">
      <c r="A667" s="64">
        <v>1</v>
      </c>
      <c r="B667" s="92">
        <f>SUBTOTAL(103,$A$548:A667)</f>
        <v>120</v>
      </c>
      <c r="C667" s="91" t="s">
        <v>619</v>
      </c>
      <c r="D667" s="126" t="s">
        <v>317</v>
      </c>
      <c r="E667" s="126"/>
      <c r="F667" s="145" t="s">
        <v>319</v>
      </c>
      <c r="G667" s="126" t="s">
        <v>360</v>
      </c>
      <c r="H667" s="126">
        <v>4</v>
      </c>
      <c r="I667" s="117">
        <v>4027.5</v>
      </c>
      <c r="J667" s="117">
        <v>3035.5</v>
      </c>
      <c r="K667" s="117">
        <v>3037.2</v>
      </c>
      <c r="L667" s="127">
        <v>135</v>
      </c>
      <c r="M667" s="126" t="s">
        <v>271</v>
      </c>
      <c r="N667" s="126" t="s">
        <v>275</v>
      </c>
      <c r="O667" s="124" t="s">
        <v>1352</v>
      </c>
      <c r="P667" s="118">
        <v>100000</v>
      </c>
      <c r="Q667" s="118">
        <v>0</v>
      </c>
      <c r="R667" s="118">
        <v>0</v>
      </c>
      <c r="S667" s="118">
        <f t="shared" si="89"/>
        <v>100000</v>
      </c>
      <c r="T667" s="118">
        <f t="shared" si="97"/>
        <v>118.60989206499822</v>
      </c>
      <c r="U667" s="118">
        <f t="shared" si="90"/>
        <v>118.60989206499822</v>
      </c>
      <c r="V667" s="183">
        <f t="shared" si="92"/>
        <v>0</v>
      </c>
      <c r="W667" s="183"/>
      <c r="X667" s="183"/>
      <c r="Y667" s="64">
        <f t="shared" si="93"/>
        <v>991.85027932960895</v>
      </c>
      <c r="AA667" s="64">
        <f t="shared" si="94"/>
        <v>765</v>
      </c>
      <c r="AH667" s="64" t="e">
        <f t="shared" si="95"/>
        <v>#N/A</v>
      </c>
      <c r="AS667" s="64" t="e">
        <f t="shared" si="96"/>
        <v>#N/A</v>
      </c>
    </row>
    <row r="668" spans="1:45" s="64" customFormat="1" ht="36" customHeight="1" x14ac:dyDescent="0.9">
      <c r="A668" s="64">
        <v>1</v>
      </c>
      <c r="B668" s="92">
        <f>SUBTOTAL(103,$A$548:A668)</f>
        <v>121</v>
      </c>
      <c r="C668" s="91" t="s">
        <v>620</v>
      </c>
      <c r="D668" s="126" t="s">
        <v>317</v>
      </c>
      <c r="E668" s="126"/>
      <c r="F668" s="145" t="s">
        <v>319</v>
      </c>
      <c r="G668" s="126" t="s">
        <v>360</v>
      </c>
      <c r="H668" s="126">
        <v>4</v>
      </c>
      <c r="I668" s="117">
        <v>4003.9</v>
      </c>
      <c r="J668" s="117">
        <v>30006.9</v>
      </c>
      <c r="K668" s="117">
        <v>2831.8</v>
      </c>
      <c r="L668" s="127">
        <v>130</v>
      </c>
      <c r="M668" s="126" t="s">
        <v>271</v>
      </c>
      <c r="N668" s="126" t="s">
        <v>275</v>
      </c>
      <c r="O668" s="124" t="s">
        <v>1352</v>
      </c>
      <c r="P668" s="118">
        <v>100000</v>
      </c>
      <c r="Q668" s="118">
        <v>0</v>
      </c>
      <c r="R668" s="118">
        <v>0</v>
      </c>
      <c r="S668" s="118">
        <f t="shared" si="89"/>
        <v>100000</v>
      </c>
      <c r="T668" s="118">
        <f t="shared" si="97"/>
        <v>39.663652229097259</v>
      </c>
      <c r="U668" s="118">
        <f t="shared" si="90"/>
        <v>39.663652229097259</v>
      </c>
      <c r="V668" s="183">
        <f t="shared" si="92"/>
        <v>0</v>
      </c>
      <c r="W668" s="183"/>
      <c r="X668" s="183"/>
      <c r="Y668" s="64">
        <f t="shared" si="93"/>
        <v>991.43643947151531</v>
      </c>
      <c r="AA668" s="64">
        <f t="shared" si="94"/>
        <v>760.2</v>
      </c>
      <c r="AH668" s="64" t="e">
        <f t="shared" si="95"/>
        <v>#N/A</v>
      </c>
      <c r="AS668" s="64" t="e">
        <f t="shared" si="96"/>
        <v>#N/A</v>
      </c>
    </row>
    <row r="669" spans="1:45" s="64" customFormat="1" ht="36" customHeight="1" x14ac:dyDescent="0.9">
      <c r="A669" s="64">
        <v>1</v>
      </c>
      <c r="B669" s="92">
        <f>SUBTOTAL(103,$A$548:A669)</f>
        <v>122</v>
      </c>
      <c r="C669" s="91" t="s">
        <v>621</v>
      </c>
      <c r="D669" s="126" t="s">
        <v>321</v>
      </c>
      <c r="E669" s="126"/>
      <c r="F669" s="145" t="s">
        <v>319</v>
      </c>
      <c r="G669" s="126" t="s">
        <v>366</v>
      </c>
      <c r="H669" s="126">
        <v>2</v>
      </c>
      <c r="I669" s="117">
        <v>4844.7</v>
      </c>
      <c r="J669" s="117">
        <v>3843.1</v>
      </c>
      <c r="K669" s="117">
        <v>3763.6</v>
      </c>
      <c r="L669" s="127">
        <v>150</v>
      </c>
      <c r="M669" s="126" t="s">
        <v>271</v>
      </c>
      <c r="N669" s="126" t="s">
        <v>275</v>
      </c>
      <c r="O669" s="124" t="s">
        <v>1352</v>
      </c>
      <c r="P669" s="118">
        <v>100000</v>
      </c>
      <c r="Q669" s="118">
        <v>0</v>
      </c>
      <c r="R669" s="118">
        <v>0</v>
      </c>
      <c r="S669" s="118">
        <f t="shared" si="89"/>
        <v>100000</v>
      </c>
      <c r="T669" s="118">
        <f t="shared" si="97"/>
        <v>95.020904599011772</v>
      </c>
      <c r="U669" s="118">
        <f t="shared" si="90"/>
        <v>95.020904599011772</v>
      </c>
      <c r="V669" s="183">
        <f t="shared" si="92"/>
        <v>0</v>
      </c>
      <c r="W669" s="183"/>
      <c r="X669" s="183"/>
      <c r="Y669" s="64">
        <f t="shared" si="93"/>
        <v>616.26444733420033</v>
      </c>
      <c r="AA669" s="64">
        <f t="shared" si="94"/>
        <v>571.76</v>
      </c>
      <c r="AH669" s="64" t="e">
        <f t="shared" si="95"/>
        <v>#N/A</v>
      </c>
      <c r="AS669" s="64" t="e">
        <f t="shared" si="96"/>
        <v>#N/A</v>
      </c>
    </row>
    <row r="670" spans="1:45" s="64" customFormat="1" ht="36" customHeight="1" x14ac:dyDescent="0.9">
      <c r="A670" s="64">
        <v>1</v>
      </c>
      <c r="B670" s="92">
        <f>SUBTOTAL(103,$A$548:A670)</f>
        <v>123</v>
      </c>
      <c r="C670" s="91" t="s">
        <v>1412</v>
      </c>
      <c r="D670" s="126">
        <v>1976</v>
      </c>
      <c r="E670" s="126"/>
      <c r="F670" s="145" t="s">
        <v>273</v>
      </c>
      <c r="G670" s="126">
        <v>5</v>
      </c>
      <c r="H670" s="126">
        <v>10</v>
      </c>
      <c r="I670" s="117">
        <v>8213.9</v>
      </c>
      <c r="J670" s="117">
        <v>7350.9</v>
      </c>
      <c r="K670" s="117">
        <v>6661.1</v>
      </c>
      <c r="L670" s="127">
        <v>418</v>
      </c>
      <c r="M670" s="126" t="s">
        <v>271</v>
      </c>
      <c r="N670" s="126" t="s">
        <v>275</v>
      </c>
      <c r="O670" s="124" t="s">
        <v>1429</v>
      </c>
      <c r="P670" s="118">
        <v>163844.70000000001</v>
      </c>
      <c r="Q670" s="118">
        <v>0</v>
      </c>
      <c r="R670" s="118">
        <v>0</v>
      </c>
      <c r="S670" s="118">
        <f t="shared" si="89"/>
        <v>163844.70000000001</v>
      </c>
      <c r="T670" s="118">
        <f t="shared" si="97"/>
        <v>57.944794171735751</v>
      </c>
      <c r="U670" s="118">
        <f t="shared" si="90"/>
        <v>57.944794171735751</v>
      </c>
      <c r="V670" s="183">
        <f t="shared" si="92"/>
        <v>0</v>
      </c>
      <c r="W670" s="183"/>
      <c r="X670" s="183"/>
      <c r="Y670" s="64">
        <f t="shared" si="93"/>
        <v>1471.0728399420495</v>
      </c>
      <c r="AA670" s="64">
        <f t="shared" si="94"/>
        <v>2314</v>
      </c>
      <c r="AH670" s="64" t="e">
        <f t="shared" si="95"/>
        <v>#N/A</v>
      </c>
      <c r="AS670" s="64" t="e">
        <f t="shared" si="96"/>
        <v>#N/A</v>
      </c>
    </row>
    <row r="671" spans="1:45" s="64" customFormat="1" ht="36" customHeight="1" x14ac:dyDescent="0.9">
      <c r="A671" s="64">
        <v>1</v>
      </c>
      <c r="B671" s="92">
        <f>SUBTOTAL(103,$A$548:A671)</f>
        <v>124</v>
      </c>
      <c r="C671" s="91" t="s">
        <v>1687</v>
      </c>
      <c r="D671" s="126">
        <v>1970</v>
      </c>
      <c r="E671" s="126"/>
      <c r="F671" s="145" t="s">
        <v>273</v>
      </c>
      <c r="G671" s="126">
        <v>5</v>
      </c>
      <c r="H671" s="126">
        <v>6</v>
      </c>
      <c r="I671" s="117">
        <v>4831</v>
      </c>
      <c r="J671" s="117">
        <v>4434.8999999999996</v>
      </c>
      <c r="K671" s="117">
        <v>4190</v>
      </c>
      <c r="L671" s="127">
        <v>250</v>
      </c>
      <c r="M671" s="126" t="s">
        <v>271</v>
      </c>
      <c r="N671" s="126" t="s">
        <v>275</v>
      </c>
      <c r="O671" s="124" t="s">
        <v>1118</v>
      </c>
      <c r="P671" s="118">
        <v>150000</v>
      </c>
      <c r="Q671" s="118">
        <v>0</v>
      </c>
      <c r="R671" s="118">
        <v>0</v>
      </c>
      <c r="S671" s="118">
        <f t="shared" si="89"/>
        <v>150000</v>
      </c>
      <c r="T671" s="118">
        <f t="shared" si="97"/>
        <v>25.039186326601129</v>
      </c>
      <c r="U671" s="118">
        <f t="shared" si="90"/>
        <v>25.039186326601129</v>
      </c>
      <c r="V671" s="183">
        <f t="shared" si="92"/>
        <v>0</v>
      </c>
      <c r="W671" s="183"/>
      <c r="X671" s="183"/>
      <c r="Y671" s="64">
        <f t="shared" si="93"/>
        <v>1292.7494928586214</v>
      </c>
      <c r="AA671" s="64">
        <f t="shared" si="94"/>
        <v>1196</v>
      </c>
      <c r="AH671" s="64" t="e">
        <f t="shared" si="95"/>
        <v>#N/A</v>
      </c>
      <c r="AS671" s="64" t="e">
        <f t="shared" si="96"/>
        <v>#N/A</v>
      </c>
    </row>
    <row r="672" spans="1:45" s="64" customFormat="1" ht="36" customHeight="1" x14ac:dyDescent="0.9">
      <c r="A672" s="64">
        <v>1</v>
      </c>
      <c r="B672" s="92">
        <f>SUBTOTAL(103,$A$548:A672)</f>
        <v>125</v>
      </c>
      <c r="C672" s="91" t="s">
        <v>1688</v>
      </c>
      <c r="D672" s="126">
        <v>1988</v>
      </c>
      <c r="E672" s="126"/>
      <c r="F672" s="145" t="s">
        <v>319</v>
      </c>
      <c r="G672" s="126">
        <v>5</v>
      </c>
      <c r="H672" s="126">
        <v>3</v>
      </c>
      <c r="I672" s="117">
        <v>2616.5</v>
      </c>
      <c r="J672" s="117">
        <v>2318.1999999999998</v>
      </c>
      <c r="K672" s="117">
        <v>2212.9</v>
      </c>
      <c r="L672" s="127">
        <v>110</v>
      </c>
      <c r="M672" s="126" t="s">
        <v>271</v>
      </c>
      <c r="N672" s="126" t="s">
        <v>275</v>
      </c>
      <c r="O672" s="124" t="s">
        <v>1118</v>
      </c>
      <c r="P672" s="118">
        <v>100000</v>
      </c>
      <c r="Q672" s="118">
        <v>0</v>
      </c>
      <c r="R672" s="118">
        <v>0</v>
      </c>
      <c r="S672" s="118">
        <f t="shared" si="89"/>
        <v>100000</v>
      </c>
      <c r="T672" s="118">
        <f t="shared" si="97"/>
        <v>22.709157013382505</v>
      </c>
      <c r="U672" s="118">
        <f t="shared" si="90"/>
        <v>22.709157013382505</v>
      </c>
      <c r="V672" s="183">
        <f t="shared" si="92"/>
        <v>0</v>
      </c>
      <c r="W672" s="183"/>
      <c r="X672" s="183"/>
      <c r="Y672" s="64">
        <f t="shared" si="93"/>
        <v>1171.4873304032105</v>
      </c>
      <c r="AA672" s="64">
        <f t="shared" si="94"/>
        <v>587</v>
      </c>
      <c r="AH672" s="64" t="e">
        <f t="shared" si="95"/>
        <v>#N/A</v>
      </c>
      <c r="AS672" s="64" t="e">
        <f t="shared" si="96"/>
        <v>#N/A</v>
      </c>
    </row>
    <row r="673" spans="1:45" s="64" customFormat="1" ht="36" customHeight="1" x14ac:dyDescent="0.9">
      <c r="A673" s="64">
        <v>1</v>
      </c>
      <c r="B673" s="92">
        <f>SUBTOTAL(103,$A$548:A673)</f>
        <v>126</v>
      </c>
      <c r="C673" s="91" t="s">
        <v>622</v>
      </c>
      <c r="D673" s="126" t="s">
        <v>331</v>
      </c>
      <c r="E673" s="126"/>
      <c r="F673" s="145" t="s">
        <v>319</v>
      </c>
      <c r="G673" s="126" t="s">
        <v>360</v>
      </c>
      <c r="H673" s="126">
        <v>4</v>
      </c>
      <c r="I673" s="117">
        <v>4258.1000000000004</v>
      </c>
      <c r="J673" s="117">
        <v>3136.3</v>
      </c>
      <c r="K673" s="117">
        <v>1795.5</v>
      </c>
      <c r="L673" s="127">
        <v>159</v>
      </c>
      <c r="M673" s="126" t="s">
        <v>271</v>
      </c>
      <c r="N673" s="126" t="s">
        <v>275</v>
      </c>
      <c r="O673" s="124" t="s">
        <v>1104</v>
      </c>
      <c r="P673" s="118">
        <v>100000</v>
      </c>
      <c r="Q673" s="118">
        <v>0</v>
      </c>
      <c r="R673" s="118">
        <v>0</v>
      </c>
      <c r="S673" s="118">
        <f t="shared" si="89"/>
        <v>100000</v>
      </c>
      <c r="T673" s="118">
        <f t="shared" si="97"/>
        <v>105.61892691170259</v>
      </c>
      <c r="U673" s="118">
        <f t="shared" si="90"/>
        <v>105.61892691170259</v>
      </c>
      <c r="V673" s="183">
        <f t="shared" si="92"/>
        <v>0</v>
      </c>
      <c r="W673" s="183"/>
      <c r="X673" s="183"/>
      <c r="Y673" s="64">
        <f t="shared" si="93"/>
        <v>1167.4581620910735</v>
      </c>
      <c r="AA673" s="64">
        <f t="shared" si="94"/>
        <v>952</v>
      </c>
      <c r="AH673" s="64" t="e">
        <f t="shared" si="95"/>
        <v>#N/A</v>
      </c>
      <c r="AS673" s="64" t="e">
        <f t="shared" si="96"/>
        <v>#N/A</v>
      </c>
    </row>
    <row r="674" spans="1:45" s="64" customFormat="1" ht="36" customHeight="1" x14ac:dyDescent="0.9">
      <c r="A674" s="64">
        <v>1</v>
      </c>
      <c r="B674" s="92">
        <f>SUBTOTAL(103,$A$548:A674)</f>
        <v>127</v>
      </c>
      <c r="C674" s="91" t="s">
        <v>1670</v>
      </c>
      <c r="D674" s="126">
        <v>1957</v>
      </c>
      <c r="E674" s="126"/>
      <c r="F674" s="145" t="s">
        <v>273</v>
      </c>
      <c r="G674" s="126">
        <v>3</v>
      </c>
      <c r="H674" s="126">
        <v>3</v>
      </c>
      <c r="I674" s="117">
        <v>1920.4</v>
      </c>
      <c r="J674" s="117">
        <v>1467.6</v>
      </c>
      <c r="K674" s="117">
        <v>1467.6</v>
      </c>
      <c r="L674" s="127">
        <v>62</v>
      </c>
      <c r="M674" s="126" t="s">
        <v>271</v>
      </c>
      <c r="N674" s="126" t="s">
        <v>275</v>
      </c>
      <c r="O674" s="124" t="s">
        <v>1643</v>
      </c>
      <c r="P674" s="118">
        <v>100000</v>
      </c>
      <c r="Q674" s="118">
        <v>0</v>
      </c>
      <c r="R674" s="118">
        <v>0</v>
      </c>
      <c r="S674" s="118">
        <f t="shared" si="89"/>
        <v>100000</v>
      </c>
      <c r="T674" s="118">
        <f t="shared" si="97"/>
        <v>308.64197530864197</v>
      </c>
      <c r="U674" s="118">
        <f t="shared" si="90"/>
        <v>308.64197530864197</v>
      </c>
      <c r="V674" s="183">
        <f t="shared" si="92"/>
        <v>0</v>
      </c>
      <c r="W674" s="183"/>
      <c r="X674" s="183"/>
      <c r="Y674" s="64">
        <f t="shared" si="93"/>
        <v>4423.4660695688399</v>
      </c>
      <c r="AA674" s="64">
        <f t="shared" si="94"/>
        <v>1626.8</v>
      </c>
      <c r="AH674" s="64" t="e">
        <f t="shared" si="95"/>
        <v>#N/A</v>
      </c>
      <c r="AS674" s="64" t="e">
        <f t="shared" si="96"/>
        <v>#N/A</v>
      </c>
    </row>
    <row r="675" spans="1:45" s="64" customFormat="1" ht="36" customHeight="1" x14ac:dyDescent="0.9">
      <c r="A675" s="64">
        <v>1</v>
      </c>
      <c r="B675" s="92">
        <f>SUBTOTAL(103,$A$548:A675)</f>
        <v>128</v>
      </c>
      <c r="C675" s="91" t="s">
        <v>623</v>
      </c>
      <c r="D675" s="126">
        <v>1981</v>
      </c>
      <c r="E675" s="126"/>
      <c r="F675" s="145" t="s">
        <v>273</v>
      </c>
      <c r="G675" s="126">
        <v>2</v>
      </c>
      <c r="H675" s="126">
        <v>3</v>
      </c>
      <c r="I675" s="117">
        <v>940.2</v>
      </c>
      <c r="J675" s="117">
        <v>850.3</v>
      </c>
      <c r="K675" s="117">
        <v>850.3</v>
      </c>
      <c r="L675" s="127">
        <v>29</v>
      </c>
      <c r="M675" s="126" t="s">
        <v>271</v>
      </c>
      <c r="N675" s="126" t="s">
        <v>275</v>
      </c>
      <c r="O675" s="124" t="s">
        <v>1689</v>
      </c>
      <c r="P675" s="118">
        <v>100000</v>
      </c>
      <c r="Q675" s="118">
        <v>0</v>
      </c>
      <c r="R675" s="118">
        <v>0</v>
      </c>
      <c r="S675" s="118">
        <f t="shared" si="89"/>
        <v>100000</v>
      </c>
      <c r="T675" s="118">
        <f t="shared" si="97"/>
        <v>316.15554852987668</v>
      </c>
      <c r="U675" s="118">
        <f t="shared" si="90"/>
        <v>316.15554852987668</v>
      </c>
      <c r="V675" s="183">
        <f t="shared" si="92"/>
        <v>0</v>
      </c>
      <c r="W675" s="183"/>
      <c r="X675" s="183"/>
      <c r="Y675" s="64">
        <f t="shared" si="93"/>
        <v>4482.0727696234844</v>
      </c>
      <c r="AA675" s="64">
        <f t="shared" si="94"/>
        <v>807.01</v>
      </c>
      <c r="AH675" s="64" t="e">
        <f t="shared" si="95"/>
        <v>#N/A</v>
      </c>
      <c r="AS675" s="64" t="e">
        <f t="shared" si="96"/>
        <v>#N/A</v>
      </c>
    </row>
    <row r="676" spans="1:45" s="64" customFormat="1" ht="36" customHeight="1" x14ac:dyDescent="0.9">
      <c r="A676" s="64">
        <v>1</v>
      </c>
      <c r="B676" s="92">
        <f>SUBTOTAL(103,$A$548:A676)</f>
        <v>129</v>
      </c>
      <c r="C676" s="91" t="s">
        <v>624</v>
      </c>
      <c r="D676" s="126">
        <v>1994</v>
      </c>
      <c r="E676" s="126"/>
      <c r="F676" s="145" t="s">
        <v>273</v>
      </c>
      <c r="G676" s="126">
        <v>3</v>
      </c>
      <c r="H676" s="126">
        <v>2</v>
      </c>
      <c r="I676" s="117">
        <v>1481.9</v>
      </c>
      <c r="J676" s="117">
        <v>1353.2</v>
      </c>
      <c r="K676" s="117">
        <v>1353.2</v>
      </c>
      <c r="L676" s="127">
        <v>72</v>
      </c>
      <c r="M676" s="126" t="s">
        <v>271</v>
      </c>
      <c r="N676" s="126" t="s">
        <v>275</v>
      </c>
      <c r="O676" s="124" t="s">
        <v>1689</v>
      </c>
      <c r="P676" s="118">
        <v>100000</v>
      </c>
      <c r="Q676" s="118">
        <v>0</v>
      </c>
      <c r="R676" s="118">
        <v>0</v>
      </c>
      <c r="S676" s="118">
        <f>P676-Q676-R676</f>
        <v>100000</v>
      </c>
      <c r="T676" s="118">
        <f t="shared" si="97"/>
        <v>75.620084694494849</v>
      </c>
      <c r="U676" s="118">
        <f t="shared" si="90"/>
        <v>75.620084694494849</v>
      </c>
      <c r="V676" s="183">
        <f t="shared" si="92"/>
        <v>0</v>
      </c>
      <c r="W676" s="183"/>
      <c r="X676" s="183"/>
      <c r="Y676" s="64">
        <f t="shared" si="93"/>
        <v>3435.6265604966593</v>
      </c>
      <c r="AA676" s="64">
        <f t="shared" si="94"/>
        <v>975</v>
      </c>
      <c r="AH676" s="64" t="e">
        <f t="shared" si="95"/>
        <v>#N/A</v>
      </c>
      <c r="AS676" s="64" t="e">
        <f t="shared" si="96"/>
        <v>#N/A</v>
      </c>
    </row>
    <row r="677" spans="1:45" s="64" customFormat="1" ht="36" customHeight="1" x14ac:dyDescent="0.9">
      <c r="A677" s="64">
        <v>1</v>
      </c>
      <c r="B677" s="92">
        <f>SUBTOTAL(103,$A$548:A677)</f>
        <v>130</v>
      </c>
      <c r="C677" s="91" t="s">
        <v>625</v>
      </c>
      <c r="D677" s="126" t="s">
        <v>359</v>
      </c>
      <c r="E677" s="126"/>
      <c r="F677" s="145" t="s">
        <v>319</v>
      </c>
      <c r="G677" s="126" t="s">
        <v>360</v>
      </c>
      <c r="H677" s="126">
        <v>4</v>
      </c>
      <c r="I677" s="117">
        <v>4064.4</v>
      </c>
      <c r="J677" s="117">
        <v>3058.6</v>
      </c>
      <c r="K677" s="117">
        <v>2912</v>
      </c>
      <c r="L677" s="127">
        <v>130</v>
      </c>
      <c r="M677" s="126" t="s">
        <v>271</v>
      </c>
      <c r="N677" s="126" t="s">
        <v>275</v>
      </c>
      <c r="O677" s="124" t="s">
        <v>1352</v>
      </c>
      <c r="P677" s="118">
        <v>100000</v>
      </c>
      <c r="Q677" s="118">
        <v>0</v>
      </c>
      <c r="R677" s="118">
        <v>0</v>
      </c>
      <c r="S677" s="118">
        <f>P677-Q677-R677</f>
        <v>100000</v>
      </c>
      <c r="T677" s="118">
        <f t="shared" si="97"/>
        <v>75.620084694494849</v>
      </c>
      <c r="U677" s="118">
        <f t="shared" si="90"/>
        <v>75.620084694494849</v>
      </c>
      <c r="V677" s="183">
        <f t="shared" si="92"/>
        <v>0</v>
      </c>
      <c r="W677" s="183"/>
      <c r="X677" s="183"/>
      <c r="Y677" s="64">
        <f t="shared" si="93"/>
        <v>990.87522143489809</v>
      </c>
      <c r="AA677" s="64">
        <f t="shared" si="94"/>
        <v>771.25</v>
      </c>
      <c r="AH677" s="64" t="e">
        <f t="shared" si="95"/>
        <v>#N/A</v>
      </c>
      <c r="AS677" s="64" t="e">
        <f t="shared" si="96"/>
        <v>#N/A</v>
      </c>
    </row>
    <row r="678" spans="1:45" s="64" customFormat="1" ht="36" customHeight="1" x14ac:dyDescent="0.9">
      <c r="A678" s="64">
        <v>1</v>
      </c>
      <c r="B678" s="92">
        <f>SUBTOTAL(103,$A$548:A678)</f>
        <v>131</v>
      </c>
      <c r="C678" s="91" t="s">
        <v>626</v>
      </c>
      <c r="D678" s="126" t="s">
        <v>379</v>
      </c>
      <c r="E678" s="126"/>
      <c r="F678" s="145" t="s">
        <v>319</v>
      </c>
      <c r="G678" s="126" t="s">
        <v>360</v>
      </c>
      <c r="H678" s="126">
        <v>5</v>
      </c>
      <c r="I678" s="117">
        <v>5067.1000000000004</v>
      </c>
      <c r="J678" s="117">
        <v>3815.6</v>
      </c>
      <c r="K678" s="117">
        <v>3768.9</v>
      </c>
      <c r="L678" s="127">
        <v>158</v>
      </c>
      <c r="M678" s="126" t="s">
        <v>271</v>
      </c>
      <c r="N678" s="126" t="s">
        <v>275</v>
      </c>
      <c r="O678" s="124" t="s">
        <v>1352</v>
      </c>
      <c r="P678" s="118">
        <v>100000</v>
      </c>
      <c r="Q678" s="118">
        <v>0</v>
      </c>
      <c r="R678" s="118">
        <v>0</v>
      </c>
      <c r="S678" s="118">
        <f>P678-Q678-R678</f>
        <v>100000</v>
      </c>
      <c r="T678" s="118">
        <f t="shared" si="97"/>
        <v>108.18998160770313</v>
      </c>
      <c r="U678" s="118">
        <f t="shared" si="90"/>
        <v>108.18998160770313</v>
      </c>
      <c r="V678" s="183">
        <f t="shared" si="92"/>
        <v>0</v>
      </c>
      <c r="W678" s="183"/>
      <c r="X678" s="183"/>
      <c r="Y678" s="64">
        <f t="shared" si="93"/>
        <v>993.17356081387766</v>
      </c>
      <c r="AA678" s="64">
        <f t="shared" si="94"/>
        <v>963.75</v>
      </c>
      <c r="AH678" s="64" t="e">
        <f t="shared" si="95"/>
        <v>#N/A</v>
      </c>
      <c r="AS678" s="64" t="e">
        <f t="shared" si="96"/>
        <v>#N/A</v>
      </c>
    </row>
    <row r="679" spans="1:45" s="64" customFormat="1" ht="36" customHeight="1" x14ac:dyDescent="0.9">
      <c r="A679" s="64">
        <v>1</v>
      </c>
      <c r="B679" s="92">
        <f>SUBTOTAL(103,$A$548:A679)</f>
        <v>132</v>
      </c>
      <c r="C679" s="91" t="s">
        <v>507</v>
      </c>
      <c r="D679" s="126">
        <v>1995</v>
      </c>
      <c r="E679" s="126"/>
      <c r="F679" s="145" t="s">
        <v>273</v>
      </c>
      <c r="G679" s="126">
        <v>9</v>
      </c>
      <c r="H679" s="126">
        <v>1</v>
      </c>
      <c r="I679" s="117">
        <v>6176.6</v>
      </c>
      <c r="J679" s="117">
        <v>4705.1000000000004</v>
      </c>
      <c r="K679" s="117">
        <v>4301.8999999999996</v>
      </c>
      <c r="L679" s="127">
        <v>360</v>
      </c>
      <c r="M679" s="126" t="s">
        <v>271</v>
      </c>
      <c r="N679" s="126" t="s">
        <v>275</v>
      </c>
      <c r="O679" s="124" t="s">
        <v>1102</v>
      </c>
      <c r="P679" s="118">
        <v>80000</v>
      </c>
      <c r="Q679" s="118">
        <v>0</v>
      </c>
      <c r="R679" s="118">
        <v>0</v>
      </c>
      <c r="S679" s="118">
        <f>P679-Q679-R679</f>
        <v>80000</v>
      </c>
      <c r="T679" s="118">
        <f t="shared" si="97"/>
        <v>86.551985286162505</v>
      </c>
      <c r="U679" s="118">
        <f t="shared" si="90"/>
        <v>86.551985286162505</v>
      </c>
      <c r="V679" s="183">
        <f t="shared" si="92"/>
        <v>0</v>
      </c>
      <c r="W679" s="183"/>
      <c r="X679" s="183"/>
      <c r="Y679" s="64">
        <f t="shared" si="93"/>
        <v>862.32490366868501</v>
      </c>
      <c r="AA679" s="64">
        <f t="shared" si="94"/>
        <v>1020</v>
      </c>
      <c r="AH679" s="64" t="e">
        <f t="shared" si="95"/>
        <v>#N/A</v>
      </c>
      <c r="AR679" s="64">
        <f>AS679*2207413/I679</f>
        <v>357.38318816177184</v>
      </c>
      <c r="AS679" s="64">
        <f t="shared" si="96"/>
        <v>1</v>
      </c>
    </row>
    <row r="680" spans="1:45" s="64" customFormat="1" ht="36" customHeight="1" x14ac:dyDescent="0.9">
      <c r="A680" s="64">
        <v>1</v>
      </c>
      <c r="B680" s="92">
        <f>SUBTOTAL(103,$A$548:A680)</f>
        <v>133</v>
      </c>
      <c r="C680" s="91" t="s">
        <v>1097</v>
      </c>
      <c r="D680" s="126">
        <v>1990</v>
      </c>
      <c r="E680" s="126"/>
      <c r="F680" s="145" t="s">
        <v>273</v>
      </c>
      <c r="G680" s="126">
        <v>9</v>
      </c>
      <c r="H680" s="126">
        <v>4</v>
      </c>
      <c r="I680" s="117">
        <v>11085.8</v>
      </c>
      <c r="J680" s="117">
        <v>9319.2999999999993</v>
      </c>
      <c r="K680" s="117">
        <v>5667.8</v>
      </c>
      <c r="L680" s="127">
        <v>446</v>
      </c>
      <c r="M680" s="126" t="s">
        <v>271</v>
      </c>
      <c r="N680" s="126" t="s">
        <v>275</v>
      </c>
      <c r="O680" s="124" t="s">
        <v>1104</v>
      </c>
      <c r="P680" s="118">
        <v>100000</v>
      </c>
      <c r="Q680" s="118">
        <v>0</v>
      </c>
      <c r="R680" s="118">
        <v>0</v>
      </c>
      <c r="S680" s="118">
        <f>P680-Q680-R680</f>
        <v>100000</v>
      </c>
      <c r="T680" s="118">
        <f t="shared" si="97"/>
        <v>160.66838046272494</v>
      </c>
      <c r="U680" s="118">
        <f t="shared" si="90"/>
        <v>160.66838046272494</v>
      </c>
      <c r="V680" s="183">
        <f t="shared" si="92"/>
        <v>0</v>
      </c>
      <c r="W680" s="183"/>
      <c r="X680" s="183"/>
      <c r="Y680" s="64" t="e">
        <f t="shared" si="93"/>
        <v>#N/A</v>
      </c>
      <c r="AA680" s="64" t="e">
        <f t="shared" si="94"/>
        <v>#N/A</v>
      </c>
      <c r="AH680" s="64" t="e">
        <f t="shared" si="95"/>
        <v>#N/A</v>
      </c>
      <c r="AR680" s="64">
        <f>AS680*2207413/I680</f>
        <v>597.36230132241246</v>
      </c>
      <c r="AS680" s="64">
        <f t="shared" si="96"/>
        <v>3</v>
      </c>
    </row>
    <row r="681" spans="1:45" s="64" customFormat="1" ht="36" customHeight="1" x14ac:dyDescent="0.9">
      <c r="B681" s="91" t="s">
        <v>781</v>
      </c>
      <c r="C681" s="172"/>
      <c r="D681" s="126" t="s">
        <v>916</v>
      </c>
      <c r="E681" s="126" t="s">
        <v>916</v>
      </c>
      <c r="F681" s="126" t="s">
        <v>916</v>
      </c>
      <c r="G681" s="126" t="s">
        <v>916</v>
      </c>
      <c r="H681" s="126" t="s">
        <v>916</v>
      </c>
      <c r="I681" s="117">
        <f>SUM(I682:I698)</f>
        <v>19943.299999999996</v>
      </c>
      <c r="J681" s="117">
        <f>SUM(J682:J698)</f>
        <v>18394.900000000001</v>
      </c>
      <c r="K681" s="117">
        <f>SUM(K682:K698)</f>
        <v>16373.200000000003</v>
      </c>
      <c r="L681" s="127">
        <f>SUM(L682:L698)</f>
        <v>845</v>
      </c>
      <c r="M681" s="126" t="s">
        <v>916</v>
      </c>
      <c r="N681" s="126" t="s">
        <v>916</v>
      </c>
      <c r="O681" s="124" t="s">
        <v>916</v>
      </c>
      <c r="P681" s="117">
        <v>58473507.189999998</v>
      </c>
      <c r="Q681" s="117">
        <f>SUM(Q682:Q698)</f>
        <v>0</v>
      </c>
      <c r="R681" s="117">
        <f>SUM(R682:R698)</f>
        <v>0</v>
      </c>
      <c r="S681" s="117">
        <f>SUM(S682:S698)</f>
        <v>58473507.189999998</v>
      </c>
      <c r="T681" s="118">
        <f t="shared" si="91"/>
        <v>2931.987544187773</v>
      </c>
      <c r="U681" s="118">
        <f>MAX(U682:U694)</f>
        <v>7040.5797833935012</v>
      </c>
      <c r="V681" s="183">
        <f t="shared" si="92"/>
        <v>4108.5922392057282</v>
      </c>
      <c r="W681" s="183"/>
      <c r="X681" s="183"/>
      <c r="Y681" s="64" t="e">
        <f t="shared" si="93"/>
        <v>#N/A</v>
      </c>
      <c r="AA681" s="64" t="e">
        <f t="shared" si="94"/>
        <v>#N/A</v>
      </c>
      <c r="AH681" s="64" t="e">
        <f t="shared" si="95"/>
        <v>#N/A</v>
      </c>
      <c r="AS681" s="64" t="e">
        <f t="shared" si="96"/>
        <v>#N/A</v>
      </c>
    </row>
    <row r="682" spans="1:45" s="64" customFormat="1" ht="36" customHeight="1" x14ac:dyDescent="0.9">
      <c r="A682" s="64">
        <v>1</v>
      </c>
      <c r="B682" s="92">
        <f>SUBTOTAL(103,$A$548:A682)</f>
        <v>134</v>
      </c>
      <c r="C682" s="91" t="s">
        <v>466</v>
      </c>
      <c r="D682" s="126">
        <v>1960</v>
      </c>
      <c r="E682" s="126"/>
      <c r="F682" s="145" t="s">
        <v>273</v>
      </c>
      <c r="G682" s="126">
        <v>2</v>
      </c>
      <c r="H682" s="126">
        <v>2</v>
      </c>
      <c r="I682" s="117">
        <v>683.2</v>
      </c>
      <c r="J682" s="117">
        <v>634.6</v>
      </c>
      <c r="K682" s="117">
        <v>388.3</v>
      </c>
      <c r="L682" s="127">
        <v>26</v>
      </c>
      <c r="M682" s="126" t="s">
        <v>271</v>
      </c>
      <c r="N682" s="126" t="s">
        <v>272</v>
      </c>
      <c r="O682" s="124" t="s">
        <v>274</v>
      </c>
      <c r="P682" s="118">
        <v>3616357.54</v>
      </c>
      <c r="Q682" s="118">
        <v>0</v>
      </c>
      <c r="R682" s="118">
        <v>0</v>
      </c>
      <c r="S682" s="118">
        <f t="shared" ref="S682:S690" si="98">P682-Q682-R682</f>
        <v>3616357.54</v>
      </c>
      <c r="T682" s="118">
        <f t="shared" si="91"/>
        <v>5293.2633782201401</v>
      </c>
      <c r="U682" s="118">
        <f>T682</f>
        <v>5293.2633782201401</v>
      </c>
      <c r="V682" s="183">
        <f t="shared" si="92"/>
        <v>0</v>
      </c>
      <c r="W682" s="183"/>
      <c r="X682" s="183"/>
      <c r="Y682" s="64">
        <f t="shared" si="93"/>
        <v>4745.6317622950819</v>
      </c>
      <c r="AA682" s="64">
        <f t="shared" si="94"/>
        <v>620.9</v>
      </c>
      <c r="AH682" s="64" t="e">
        <f t="shared" si="95"/>
        <v>#N/A</v>
      </c>
      <c r="AS682" s="64" t="e">
        <f t="shared" si="96"/>
        <v>#N/A</v>
      </c>
    </row>
    <row r="683" spans="1:45" s="64" customFormat="1" ht="61.5" x14ac:dyDescent="0.9">
      <c r="A683" s="64">
        <v>1</v>
      </c>
      <c r="B683" s="92">
        <f>SUBTOTAL(103,$A$548:A683)</f>
        <v>135</v>
      </c>
      <c r="C683" s="91" t="s">
        <v>467</v>
      </c>
      <c r="D683" s="126">
        <v>1952</v>
      </c>
      <c r="E683" s="126">
        <v>2008</v>
      </c>
      <c r="F683" s="145" t="s">
        <v>273</v>
      </c>
      <c r="G683" s="126">
        <v>2</v>
      </c>
      <c r="H683" s="126">
        <v>1</v>
      </c>
      <c r="I683" s="117">
        <v>427.8</v>
      </c>
      <c r="J683" s="117">
        <v>392.1</v>
      </c>
      <c r="K683" s="117">
        <v>345.2</v>
      </c>
      <c r="L683" s="127">
        <v>21</v>
      </c>
      <c r="M683" s="126" t="s">
        <v>271</v>
      </c>
      <c r="N683" s="126" t="s">
        <v>275</v>
      </c>
      <c r="O683" s="124" t="s">
        <v>348</v>
      </c>
      <c r="P683" s="118">
        <v>1638422.64</v>
      </c>
      <c r="Q683" s="118">
        <v>0</v>
      </c>
      <c r="R683" s="118">
        <v>0</v>
      </c>
      <c r="S683" s="118">
        <f t="shared" si="98"/>
        <v>1638422.64</v>
      </c>
      <c r="T683" s="118">
        <f t="shared" si="91"/>
        <v>3829.8799438990177</v>
      </c>
      <c r="U683" s="118">
        <f>AG683</f>
        <v>6932.4203254271861</v>
      </c>
      <c r="V683" s="183">
        <f t="shared" si="92"/>
        <v>3102.5403815281684</v>
      </c>
      <c r="W683" s="183"/>
      <c r="X683" s="183"/>
      <c r="Y683" s="64" t="e">
        <f t="shared" si="93"/>
        <v>#N/A</v>
      </c>
      <c r="AA683" s="64" t="e">
        <f t="shared" si="94"/>
        <v>#N/A</v>
      </c>
      <c r="AG683" s="64">
        <f>AH683*6191.24/J683</f>
        <v>6932.4203254271861</v>
      </c>
      <c r="AH683" s="64">
        <f t="shared" si="95"/>
        <v>439.04</v>
      </c>
      <c r="AS683" s="64" t="e">
        <f t="shared" si="96"/>
        <v>#N/A</v>
      </c>
    </row>
    <row r="684" spans="1:45" s="64" customFormat="1" ht="36" customHeight="1" x14ac:dyDescent="0.9">
      <c r="A684" s="64">
        <v>1</v>
      </c>
      <c r="B684" s="92">
        <f>SUBTOTAL(103,$A$548:A684)</f>
        <v>136</v>
      </c>
      <c r="C684" s="91" t="s">
        <v>468</v>
      </c>
      <c r="D684" s="126">
        <v>1963</v>
      </c>
      <c r="E684" s="126"/>
      <c r="F684" s="145" t="s">
        <v>273</v>
      </c>
      <c r="G684" s="126">
        <v>4</v>
      </c>
      <c r="H684" s="126">
        <v>3</v>
      </c>
      <c r="I684" s="117">
        <v>2171.1999999999998</v>
      </c>
      <c r="J684" s="117">
        <v>2025.5</v>
      </c>
      <c r="K684" s="117">
        <v>1927.8</v>
      </c>
      <c r="L684" s="127">
        <v>84</v>
      </c>
      <c r="M684" s="126" t="s">
        <v>271</v>
      </c>
      <c r="N684" s="126" t="s">
        <v>272</v>
      </c>
      <c r="O684" s="124" t="s">
        <v>274</v>
      </c>
      <c r="P684" s="118">
        <v>4857938</v>
      </c>
      <c r="Q684" s="118">
        <v>0</v>
      </c>
      <c r="R684" s="118">
        <v>0</v>
      </c>
      <c r="S684" s="118">
        <f t="shared" si="98"/>
        <v>4857938</v>
      </c>
      <c r="T684" s="118">
        <f t="shared" si="91"/>
        <v>2237.4438098747237</v>
      </c>
      <c r="U684" s="118">
        <f>T684</f>
        <v>2237.4438098747237</v>
      </c>
      <c r="V684" s="183">
        <f t="shared" si="92"/>
        <v>0</v>
      </c>
      <c r="W684" s="183"/>
      <c r="X684" s="183"/>
      <c r="Y684" s="64">
        <f t="shared" si="93"/>
        <v>2130.8561164333087</v>
      </c>
      <c r="AA684" s="64">
        <f t="shared" si="94"/>
        <v>886</v>
      </c>
      <c r="AH684" s="64" t="e">
        <f t="shared" si="95"/>
        <v>#N/A</v>
      </c>
      <c r="AS684" s="64" t="e">
        <f t="shared" si="96"/>
        <v>#N/A</v>
      </c>
    </row>
    <row r="685" spans="1:45" s="64" customFormat="1" ht="36" customHeight="1" x14ac:dyDescent="0.9">
      <c r="A685" s="64">
        <v>1</v>
      </c>
      <c r="B685" s="92">
        <f>SUBTOTAL(103,$A$548:A685)</f>
        <v>137</v>
      </c>
      <c r="C685" s="91" t="s">
        <v>469</v>
      </c>
      <c r="D685" s="126">
        <v>1959</v>
      </c>
      <c r="E685" s="126"/>
      <c r="F685" s="145" t="s">
        <v>273</v>
      </c>
      <c r="G685" s="126">
        <v>2</v>
      </c>
      <c r="H685" s="126">
        <v>2</v>
      </c>
      <c r="I685" s="117">
        <v>678.8</v>
      </c>
      <c r="J685" s="117">
        <v>632.4</v>
      </c>
      <c r="K685" s="117">
        <v>632.4</v>
      </c>
      <c r="L685" s="127">
        <v>42</v>
      </c>
      <c r="M685" s="126" t="s">
        <v>271</v>
      </c>
      <c r="N685" s="126" t="s">
        <v>272</v>
      </c>
      <c r="O685" s="124" t="s">
        <v>274</v>
      </c>
      <c r="P685" s="118">
        <v>3345121.12</v>
      </c>
      <c r="Q685" s="118">
        <v>0</v>
      </c>
      <c r="R685" s="118">
        <v>0</v>
      </c>
      <c r="S685" s="118">
        <f t="shared" si="98"/>
        <v>3345121.12</v>
      </c>
      <c r="T685" s="118">
        <f t="shared" si="91"/>
        <v>4927.9922215674724</v>
      </c>
      <c r="U685" s="118">
        <f>T685</f>
        <v>4927.9922215674724</v>
      </c>
      <c r="V685" s="183">
        <f t="shared" si="92"/>
        <v>0</v>
      </c>
      <c r="W685" s="183"/>
      <c r="X685" s="183"/>
      <c r="Y685" s="64">
        <f t="shared" si="93"/>
        <v>4646.3865645256337</v>
      </c>
      <c r="AA685" s="64">
        <f t="shared" si="94"/>
        <v>604</v>
      </c>
      <c r="AH685" s="64" t="e">
        <f t="shared" si="95"/>
        <v>#N/A</v>
      </c>
      <c r="AS685" s="64" t="e">
        <f t="shared" si="96"/>
        <v>#N/A</v>
      </c>
    </row>
    <row r="686" spans="1:45" s="64" customFormat="1" ht="36" customHeight="1" x14ac:dyDescent="0.9">
      <c r="A686" s="64">
        <v>1</v>
      </c>
      <c r="B686" s="92">
        <f>SUBTOTAL(103,$A$548:A686)</f>
        <v>138</v>
      </c>
      <c r="C686" s="91" t="s">
        <v>470</v>
      </c>
      <c r="D686" s="126">
        <v>1959</v>
      </c>
      <c r="E686" s="126"/>
      <c r="F686" s="145" t="s">
        <v>273</v>
      </c>
      <c r="G686" s="126">
        <v>2</v>
      </c>
      <c r="H686" s="126">
        <v>2</v>
      </c>
      <c r="I686" s="117">
        <v>691.7</v>
      </c>
      <c r="J686" s="117">
        <v>645.29999999999995</v>
      </c>
      <c r="K686" s="117">
        <v>563.5</v>
      </c>
      <c r="L686" s="127">
        <v>28</v>
      </c>
      <c r="M686" s="126" t="s">
        <v>271</v>
      </c>
      <c r="N686" s="126" t="s">
        <v>272</v>
      </c>
      <c r="O686" s="124" t="s">
        <v>274</v>
      </c>
      <c r="P686" s="118">
        <v>3345121.12</v>
      </c>
      <c r="Q686" s="118">
        <v>0</v>
      </c>
      <c r="R686" s="118">
        <v>0</v>
      </c>
      <c r="S686" s="118">
        <f t="shared" si="98"/>
        <v>3345121.12</v>
      </c>
      <c r="T686" s="118">
        <f t="shared" si="91"/>
        <v>4836.0866271504983</v>
      </c>
      <c r="U686" s="118">
        <f>T686</f>
        <v>4836.0866271504983</v>
      </c>
      <c r="V686" s="183">
        <f t="shared" si="92"/>
        <v>0</v>
      </c>
      <c r="W686" s="183"/>
      <c r="X686" s="183"/>
      <c r="Y686" s="64">
        <f t="shared" si="93"/>
        <v>4559.7328321526675</v>
      </c>
      <c r="AA686" s="64">
        <f t="shared" si="94"/>
        <v>604</v>
      </c>
      <c r="AH686" s="64" t="e">
        <f t="shared" si="95"/>
        <v>#N/A</v>
      </c>
      <c r="AS686" s="64" t="e">
        <f t="shared" si="96"/>
        <v>#N/A</v>
      </c>
    </row>
    <row r="687" spans="1:45" s="64" customFormat="1" ht="36" customHeight="1" x14ac:dyDescent="0.9">
      <c r="A687" s="64">
        <v>1</v>
      </c>
      <c r="B687" s="92">
        <f>SUBTOTAL(103,$A$548:A687)</f>
        <v>139</v>
      </c>
      <c r="C687" s="91" t="s">
        <v>471</v>
      </c>
      <c r="D687" s="126">
        <v>1972</v>
      </c>
      <c r="E687" s="126"/>
      <c r="F687" s="145" t="s">
        <v>273</v>
      </c>
      <c r="G687" s="126">
        <v>2</v>
      </c>
      <c r="H687" s="126">
        <v>2</v>
      </c>
      <c r="I687" s="117">
        <v>795.2</v>
      </c>
      <c r="J687" s="117">
        <v>734.3</v>
      </c>
      <c r="K687" s="117">
        <v>469.2</v>
      </c>
      <c r="L687" s="127">
        <v>34</v>
      </c>
      <c r="M687" s="126" t="s">
        <v>271</v>
      </c>
      <c r="N687" s="126" t="s">
        <v>272</v>
      </c>
      <c r="O687" s="124" t="s">
        <v>274</v>
      </c>
      <c r="P687" s="118">
        <v>3589208.68</v>
      </c>
      <c r="Q687" s="118">
        <v>0</v>
      </c>
      <c r="R687" s="118">
        <v>0</v>
      </c>
      <c r="S687" s="118">
        <f t="shared" si="98"/>
        <v>3589208.68</v>
      </c>
      <c r="T687" s="118">
        <f t="shared" si="91"/>
        <v>4513.5924044265594</v>
      </c>
      <c r="U687" s="118">
        <f>Y687</f>
        <v>4749.2638732394362</v>
      </c>
      <c r="V687" s="183">
        <f t="shared" si="92"/>
        <v>235.67146881287681</v>
      </c>
      <c r="W687" s="183"/>
      <c r="X687" s="183"/>
      <c r="Y687" s="64">
        <f t="shared" si="93"/>
        <v>4749.2638732394362</v>
      </c>
      <c r="AA687" s="64">
        <f t="shared" si="94"/>
        <v>723.24</v>
      </c>
      <c r="AH687" s="64" t="e">
        <f t="shared" si="95"/>
        <v>#N/A</v>
      </c>
      <c r="AS687" s="64" t="e">
        <f t="shared" si="96"/>
        <v>#N/A</v>
      </c>
    </row>
    <row r="688" spans="1:45" s="64" customFormat="1" ht="36" customHeight="1" x14ac:dyDescent="0.9">
      <c r="A688" s="64">
        <v>1</v>
      </c>
      <c r="B688" s="92">
        <f>SUBTOTAL(103,$A$548:A688)</f>
        <v>140</v>
      </c>
      <c r="C688" s="91" t="s">
        <v>472</v>
      </c>
      <c r="D688" s="126">
        <v>1954</v>
      </c>
      <c r="E688" s="126"/>
      <c r="F688" s="145" t="s">
        <v>332</v>
      </c>
      <c r="G688" s="126">
        <v>2</v>
      </c>
      <c r="H688" s="126">
        <v>2</v>
      </c>
      <c r="I688" s="117">
        <v>390.9</v>
      </c>
      <c r="J688" s="117">
        <v>360.1</v>
      </c>
      <c r="K688" s="117">
        <v>360.1</v>
      </c>
      <c r="L688" s="127">
        <v>15</v>
      </c>
      <c r="M688" s="126" t="s">
        <v>271</v>
      </c>
      <c r="N688" s="126" t="s">
        <v>272</v>
      </c>
      <c r="O688" s="124" t="s">
        <v>274</v>
      </c>
      <c r="P688" s="118">
        <v>998954.77999999991</v>
      </c>
      <c r="Q688" s="118">
        <v>0</v>
      </c>
      <c r="R688" s="118">
        <v>0</v>
      </c>
      <c r="S688" s="118">
        <f t="shared" si="98"/>
        <v>998954.77999999991</v>
      </c>
      <c r="T688" s="118">
        <f t="shared" si="91"/>
        <v>2555.525147096444</v>
      </c>
      <c r="U688" s="118">
        <f>AG688</f>
        <v>7040.5797833935012</v>
      </c>
      <c r="V688" s="183">
        <f t="shared" si="92"/>
        <v>4485.0546362970572</v>
      </c>
      <c r="W688" s="183"/>
      <c r="X688" s="183"/>
      <c r="Y688" s="64" t="e">
        <f t="shared" si="93"/>
        <v>#N/A</v>
      </c>
      <c r="AA688" s="64" t="e">
        <f t="shared" si="94"/>
        <v>#N/A</v>
      </c>
      <c r="AG688" s="64">
        <f>AH688*6191.24/J688</f>
        <v>7040.5797833935012</v>
      </c>
      <c r="AH688" s="64">
        <f t="shared" si="95"/>
        <v>409.5</v>
      </c>
      <c r="AS688" s="64" t="e">
        <f t="shared" si="96"/>
        <v>#N/A</v>
      </c>
    </row>
    <row r="689" spans="1:45" s="64" customFormat="1" ht="36" customHeight="1" x14ac:dyDescent="0.9">
      <c r="A689" s="64">
        <v>1</v>
      </c>
      <c r="B689" s="92">
        <f>SUBTOTAL(103,$A$548:A689)</f>
        <v>141</v>
      </c>
      <c r="C689" s="91" t="s">
        <v>475</v>
      </c>
      <c r="D689" s="126">
        <v>1957</v>
      </c>
      <c r="E689" s="126">
        <v>2010</v>
      </c>
      <c r="F689" s="145" t="s">
        <v>273</v>
      </c>
      <c r="G689" s="126">
        <v>2</v>
      </c>
      <c r="H689" s="126">
        <v>2</v>
      </c>
      <c r="I689" s="117">
        <v>809.2</v>
      </c>
      <c r="J689" s="117">
        <v>720</v>
      </c>
      <c r="K689" s="117">
        <v>526.70000000000005</v>
      </c>
      <c r="L689" s="127">
        <v>14</v>
      </c>
      <c r="M689" s="126" t="s">
        <v>271</v>
      </c>
      <c r="N689" s="126" t="s">
        <v>349</v>
      </c>
      <c r="O689" s="124" t="s">
        <v>350</v>
      </c>
      <c r="P689" s="118">
        <v>3504528.03</v>
      </c>
      <c r="Q689" s="118">
        <v>0</v>
      </c>
      <c r="R689" s="118">
        <v>0</v>
      </c>
      <c r="S689" s="118">
        <f t="shared" si="98"/>
        <v>3504528.03</v>
      </c>
      <c r="T689" s="118">
        <f t="shared" si="91"/>
        <v>4330.8552026693023</v>
      </c>
      <c r="U689" s="118">
        <f>T689</f>
        <v>4330.8552026693023</v>
      </c>
      <c r="V689" s="183">
        <f t="shared" si="92"/>
        <v>0</v>
      </c>
      <c r="W689" s="183"/>
      <c r="X689" s="183"/>
      <c r="Y689" s="64" t="e">
        <f t="shared" si="93"/>
        <v>#N/A</v>
      </c>
      <c r="AA689" s="64" t="e">
        <f t="shared" si="94"/>
        <v>#N/A</v>
      </c>
      <c r="AH689" s="64" t="e">
        <f t="shared" si="95"/>
        <v>#N/A</v>
      </c>
      <c r="AS689" s="64" t="e">
        <f t="shared" si="96"/>
        <v>#N/A</v>
      </c>
    </row>
    <row r="690" spans="1:45" s="64" customFormat="1" ht="36" customHeight="1" x14ac:dyDescent="0.9">
      <c r="A690" s="64">
        <v>1</v>
      </c>
      <c r="B690" s="92">
        <f>SUBTOTAL(103,$A$548:A690)</f>
        <v>142</v>
      </c>
      <c r="C690" s="91" t="s">
        <v>476</v>
      </c>
      <c r="D690" s="126">
        <v>1976</v>
      </c>
      <c r="E690" s="126">
        <v>2008</v>
      </c>
      <c r="F690" s="145" t="s">
        <v>319</v>
      </c>
      <c r="G690" s="126">
        <v>5</v>
      </c>
      <c r="H690" s="126">
        <v>10</v>
      </c>
      <c r="I690" s="117">
        <v>8393.7999999999993</v>
      </c>
      <c r="J690" s="117">
        <v>7705.8</v>
      </c>
      <c r="K690" s="117">
        <v>7147.7</v>
      </c>
      <c r="L690" s="127">
        <v>351</v>
      </c>
      <c r="M690" s="126" t="s">
        <v>271</v>
      </c>
      <c r="N690" s="126" t="s">
        <v>275</v>
      </c>
      <c r="O690" s="124" t="s">
        <v>351</v>
      </c>
      <c r="P690" s="118">
        <v>7806669.5300000003</v>
      </c>
      <c r="Q690" s="118">
        <v>0</v>
      </c>
      <c r="R690" s="118">
        <v>0</v>
      </c>
      <c r="S690" s="118">
        <f t="shared" si="98"/>
        <v>7806669.5300000003</v>
      </c>
      <c r="T690" s="118">
        <f t="shared" si="91"/>
        <v>930.05188710715061</v>
      </c>
      <c r="U690" s="118">
        <f t="shared" ref="U690:U698" si="99">Y690</f>
        <v>1911.9994769949249</v>
      </c>
      <c r="V690" s="183">
        <f t="shared" si="92"/>
        <v>981.94758988777426</v>
      </c>
      <c r="W690" s="183"/>
      <c r="X690" s="183"/>
      <c r="Y690" s="64">
        <f t="shared" si="93"/>
        <v>1911.9994769949249</v>
      </c>
      <c r="AA690" s="64">
        <f t="shared" si="94"/>
        <v>3073.45</v>
      </c>
      <c r="AH690" s="64" t="e">
        <f t="shared" si="95"/>
        <v>#N/A</v>
      </c>
      <c r="AS690" s="64" t="e">
        <f t="shared" si="96"/>
        <v>#N/A</v>
      </c>
    </row>
    <row r="691" spans="1:45" s="64" customFormat="1" ht="36" customHeight="1" x14ac:dyDescent="0.9">
      <c r="A691" s="64">
        <v>1</v>
      </c>
      <c r="B691" s="92">
        <f>SUBTOTAL(103,$A$548:A691)</f>
        <v>143</v>
      </c>
      <c r="C691" s="91" t="s">
        <v>455</v>
      </c>
      <c r="D691" s="126">
        <v>1958</v>
      </c>
      <c r="E691" s="126"/>
      <c r="F691" s="145" t="s">
        <v>273</v>
      </c>
      <c r="G691" s="126">
        <v>2</v>
      </c>
      <c r="H691" s="126">
        <v>2</v>
      </c>
      <c r="I691" s="118">
        <v>615.29999999999995</v>
      </c>
      <c r="J691" s="118">
        <v>568.6</v>
      </c>
      <c r="K691" s="118">
        <v>492.1</v>
      </c>
      <c r="L691" s="127">
        <v>25</v>
      </c>
      <c r="M691" s="126" t="s">
        <v>271</v>
      </c>
      <c r="N691" s="126" t="s">
        <v>272</v>
      </c>
      <c r="O691" s="124" t="s">
        <v>274</v>
      </c>
      <c r="P691" s="118">
        <v>2928184.83</v>
      </c>
      <c r="Q691" s="118">
        <v>0</v>
      </c>
      <c r="R691" s="118">
        <v>0</v>
      </c>
      <c r="S691" s="118">
        <f t="shared" ref="S691:S698" si="100">P691-Q691-R691</f>
        <v>2928184.83</v>
      </c>
      <c r="T691" s="118">
        <f t="shared" si="91"/>
        <v>4758.9547050219408</v>
      </c>
      <c r="U691" s="118">
        <f>T691</f>
        <v>4758.9547050219408</v>
      </c>
      <c r="V691" s="183">
        <f t="shared" si="92"/>
        <v>0</v>
      </c>
      <c r="W691" s="183"/>
      <c r="X691" s="183"/>
      <c r="Y691" s="64">
        <f t="shared" si="93"/>
        <v>4485.1638225255983</v>
      </c>
      <c r="AA691" s="64">
        <f t="shared" si="94"/>
        <v>528.5</v>
      </c>
      <c r="AH691" s="64" t="e">
        <f t="shared" si="95"/>
        <v>#N/A</v>
      </c>
      <c r="AS691" s="64" t="e">
        <f t="shared" si="96"/>
        <v>#N/A</v>
      </c>
    </row>
    <row r="692" spans="1:45" s="64" customFormat="1" ht="36" customHeight="1" x14ac:dyDescent="0.9">
      <c r="A692" s="64">
        <v>1</v>
      </c>
      <c r="B692" s="92">
        <f>SUBTOTAL(103,$A$548:A692)</f>
        <v>144</v>
      </c>
      <c r="C692" s="91" t="s">
        <v>456</v>
      </c>
      <c r="D692" s="126">
        <v>1969</v>
      </c>
      <c r="E692" s="126"/>
      <c r="F692" s="145" t="s">
        <v>273</v>
      </c>
      <c r="G692" s="126">
        <v>2</v>
      </c>
      <c r="H692" s="126">
        <v>2</v>
      </c>
      <c r="I692" s="118">
        <v>725.2</v>
      </c>
      <c r="J692" s="118">
        <v>674.9</v>
      </c>
      <c r="K692" s="118">
        <v>506.2</v>
      </c>
      <c r="L692" s="127">
        <v>25</v>
      </c>
      <c r="M692" s="126" t="s">
        <v>271</v>
      </c>
      <c r="N692" s="126" t="s">
        <v>272</v>
      </c>
      <c r="O692" s="124" t="s">
        <v>274</v>
      </c>
      <c r="P692" s="118">
        <v>4800723</v>
      </c>
      <c r="Q692" s="118">
        <v>0</v>
      </c>
      <c r="R692" s="118">
        <v>0</v>
      </c>
      <c r="S692" s="118">
        <f t="shared" si="100"/>
        <v>4800723</v>
      </c>
      <c r="T692" s="118">
        <f t="shared" si="91"/>
        <v>6619.860728075013</v>
      </c>
      <c r="U692" s="118">
        <f>T692</f>
        <v>6619.860728075013</v>
      </c>
      <c r="V692" s="183">
        <f t="shared" si="92"/>
        <v>0</v>
      </c>
      <c r="W692" s="183"/>
      <c r="X692" s="183"/>
      <c r="Y692" s="64">
        <f t="shared" si="93"/>
        <v>6120.4219525648095</v>
      </c>
      <c r="AA692" s="64">
        <f t="shared" si="94"/>
        <v>850</v>
      </c>
      <c r="AH692" s="64" t="e">
        <f t="shared" si="95"/>
        <v>#N/A</v>
      </c>
      <c r="AS692" s="64" t="e">
        <f t="shared" si="96"/>
        <v>#N/A</v>
      </c>
    </row>
    <row r="693" spans="1:45" s="64" customFormat="1" ht="36" customHeight="1" x14ac:dyDescent="0.9">
      <c r="A693" s="64">
        <v>1</v>
      </c>
      <c r="B693" s="92">
        <f>SUBTOTAL(103,$A$548:A693)</f>
        <v>145</v>
      </c>
      <c r="C693" s="91" t="s">
        <v>1318</v>
      </c>
      <c r="D693" s="126">
        <v>1970</v>
      </c>
      <c r="E693" s="126"/>
      <c r="F693" s="145" t="s">
        <v>273</v>
      </c>
      <c r="G693" s="126">
        <v>2</v>
      </c>
      <c r="H693" s="126">
        <v>2</v>
      </c>
      <c r="I693" s="117">
        <v>780.1</v>
      </c>
      <c r="J693" s="117">
        <v>721</v>
      </c>
      <c r="K693" s="117">
        <v>721</v>
      </c>
      <c r="L693" s="127">
        <v>29</v>
      </c>
      <c r="M693" s="126" t="s">
        <v>271</v>
      </c>
      <c r="N693" s="126" t="s">
        <v>272</v>
      </c>
      <c r="O693" s="124" t="s">
        <v>274</v>
      </c>
      <c r="P693" s="118">
        <v>3973949.34</v>
      </c>
      <c r="Q693" s="118">
        <v>0</v>
      </c>
      <c r="R693" s="118">
        <v>0</v>
      </c>
      <c r="S693" s="118">
        <f t="shared" si="100"/>
        <v>3973949.34</v>
      </c>
      <c r="T693" s="118">
        <f>P693/I693</f>
        <v>5094.1537495192924</v>
      </c>
      <c r="U693" s="118">
        <f>T693</f>
        <v>5094.1537495192924</v>
      </c>
      <c r="V693" s="183">
        <f t="shared" si="92"/>
        <v>0</v>
      </c>
      <c r="W693" s="183"/>
      <c r="X693" s="183"/>
      <c r="Y693" s="64">
        <f t="shared" si="93"/>
        <v>4797.2819177028587</v>
      </c>
      <c r="AA693" s="64">
        <f t="shared" si="94"/>
        <v>716.68</v>
      </c>
      <c r="AH693" s="64" t="e">
        <f t="shared" si="95"/>
        <v>#N/A</v>
      </c>
      <c r="AS693" s="64" t="e">
        <f t="shared" si="96"/>
        <v>#N/A</v>
      </c>
    </row>
    <row r="694" spans="1:45" s="64" customFormat="1" ht="36" customHeight="1" x14ac:dyDescent="0.9">
      <c r="A694" s="64">
        <v>1</v>
      </c>
      <c r="B694" s="92">
        <f>SUBTOTAL(103,$A$548:A694)</f>
        <v>146</v>
      </c>
      <c r="C694" s="91" t="s">
        <v>474</v>
      </c>
      <c r="D694" s="126">
        <v>1971</v>
      </c>
      <c r="E694" s="126"/>
      <c r="F694" s="145" t="s">
        <v>273</v>
      </c>
      <c r="G694" s="126">
        <v>2</v>
      </c>
      <c r="H694" s="126">
        <v>2</v>
      </c>
      <c r="I694" s="117">
        <v>775.6</v>
      </c>
      <c r="J694" s="117">
        <v>716.4</v>
      </c>
      <c r="K694" s="117">
        <v>574.1</v>
      </c>
      <c r="L694" s="127">
        <v>35</v>
      </c>
      <c r="M694" s="126" t="s">
        <v>271</v>
      </c>
      <c r="N694" s="126" t="s">
        <v>272</v>
      </c>
      <c r="O694" s="124" t="s">
        <v>274</v>
      </c>
      <c r="P694" s="118">
        <v>3793636.92</v>
      </c>
      <c r="Q694" s="118">
        <v>0</v>
      </c>
      <c r="R694" s="118">
        <v>0</v>
      </c>
      <c r="S694" s="118">
        <f t="shared" si="100"/>
        <v>3793636.92</v>
      </c>
      <c r="T694" s="118">
        <f>P694/I694</f>
        <v>4891.228623001547</v>
      </c>
      <c r="U694" s="118">
        <f>T694</f>
        <v>4891.228623001547</v>
      </c>
      <c r="V694" s="183">
        <f t="shared" si="92"/>
        <v>0</v>
      </c>
      <c r="W694" s="183"/>
      <c r="X694" s="183"/>
      <c r="Y694" s="64">
        <f t="shared" si="93"/>
        <v>4874.3981433728732</v>
      </c>
      <c r="AA694" s="64">
        <f t="shared" si="94"/>
        <v>724</v>
      </c>
      <c r="AH694" s="64" t="e">
        <f t="shared" si="95"/>
        <v>#N/A</v>
      </c>
      <c r="AS694" s="64" t="e">
        <f t="shared" si="96"/>
        <v>#N/A</v>
      </c>
    </row>
    <row r="695" spans="1:45" s="64" customFormat="1" ht="36" customHeight="1" x14ac:dyDescent="0.9">
      <c r="A695" s="64">
        <v>1</v>
      </c>
      <c r="B695" s="92">
        <f>SUBTOTAL(103,$A$548:A695)</f>
        <v>147</v>
      </c>
      <c r="C695" s="91" t="s">
        <v>1676</v>
      </c>
      <c r="D695" s="126">
        <v>1959</v>
      </c>
      <c r="E695" s="126"/>
      <c r="F695" s="145" t="s">
        <v>1374</v>
      </c>
      <c r="G695" s="126">
        <v>2</v>
      </c>
      <c r="H695" s="126">
        <v>2</v>
      </c>
      <c r="I695" s="117">
        <v>693.8</v>
      </c>
      <c r="J695" s="117">
        <v>573.4</v>
      </c>
      <c r="K695" s="117">
        <f>J695-76.6</f>
        <v>496.79999999999995</v>
      </c>
      <c r="L695" s="127">
        <v>22</v>
      </c>
      <c r="M695" s="126" t="s">
        <v>271</v>
      </c>
      <c r="N695" s="126" t="s">
        <v>272</v>
      </c>
      <c r="O695" s="124" t="s">
        <v>274</v>
      </c>
      <c r="P695" s="118">
        <v>3607695.84</v>
      </c>
      <c r="Q695" s="118">
        <v>0</v>
      </c>
      <c r="R695" s="118">
        <v>0</v>
      </c>
      <c r="S695" s="118">
        <f t="shared" si="100"/>
        <v>3607695.84</v>
      </c>
      <c r="T695" s="118">
        <f>P695/I852</f>
        <v>5387.7568136676573</v>
      </c>
      <c r="U695" s="118">
        <f>T695</f>
        <v>5387.7568136676573</v>
      </c>
      <c r="V695" s="183">
        <f t="shared" si="92"/>
        <v>0</v>
      </c>
      <c r="W695" s="183"/>
      <c r="X695" s="183"/>
      <c r="Y695" s="64">
        <f t="shared" si="93"/>
        <v>4723.55387719804</v>
      </c>
      <c r="AA695" s="64">
        <f t="shared" si="94"/>
        <v>627.6</v>
      </c>
      <c r="AH695" s="64" t="e">
        <f t="shared" si="95"/>
        <v>#N/A</v>
      </c>
      <c r="AS695" s="64" t="e">
        <f t="shared" si="96"/>
        <v>#N/A</v>
      </c>
    </row>
    <row r="696" spans="1:45" s="64" customFormat="1" ht="36" customHeight="1" x14ac:dyDescent="0.9">
      <c r="A696" s="64">
        <v>1</v>
      </c>
      <c r="B696" s="92">
        <f>SUBTOTAL(103,$A$548:A696)</f>
        <v>148</v>
      </c>
      <c r="C696" s="91" t="s">
        <v>1677</v>
      </c>
      <c r="D696" s="126">
        <v>1959</v>
      </c>
      <c r="E696" s="126"/>
      <c r="F696" s="145" t="s">
        <v>1374</v>
      </c>
      <c r="G696" s="126">
        <v>2</v>
      </c>
      <c r="H696" s="126">
        <v>1</v>
      </c>
      <c r="I696" s="117">
        <v>301.39999999999998</v>
      </c>
      <c r="J696" s="117">
        <v>280.39999999999998</v>
      </c>
      <c r="K696" s="117">
        <f>J696</f>
        <v>280.39999999999998</v>
      </c>
      <c r="L696" s="127">
        <v>21</v>
      </c>
      <c r="M696" s="126" t="s">
        <v>271</v>
      </c>
      <c r="N696" s="126" t="s">
        <v>272</v>
      </c>
      <c r="O696" s="124" t="s">
        <v>274</v>
      </c>
      <c r="P696" s="118">
        <v>1597480.36</v>
      </c>
      <c r="Q696" s="118">
        <v>0</v>
      </c>
      <c r="R696" s="118">
        <v>0</v>
      </c>
      <c r="S696" s="118">
        <f t="shared" si="100"/>
        <v>1597480.36</v>
      </c>
      <c r="T696" s="118">
        <f>P696/I853</f>
        <v>396.67271553436638</v>
      </c>
      <c r="U696" s="118">
        <f t="shared" si="99"/>
        <v>4814.6589913735897</v>
      </c>
      <c r="V696" s="183">
        <f t="shared" si="92"/>
        <v>4417.9862758392237</v>
      </c>
      <c r="W696" s="183"/>
      <c r="X696" s="183"/>
      <c r="Y696" s="64">
        <f t="shared" si="93"/>
        <v>4814.6589913735897</v>
      </c>
      <c r="AA696" s="64">
        <f t="shared" si="94"/>
        <v>277.89999999999998</v>
      </c>
      <c r="AH696" s="64" t="e">
        <f t="shared" si="95"/>
        <v>#N/A</v>
      </c>
      <c r="AS696" s="64" t="e">
        <f t="shared" si="96"/>
        <v>#N/A</v>
      </c>
    </row>
    <row r="697" spans="1:45" s="64" customFormat="1" ht="36" customHeight="1" x14ac:dyDescent="0.9">
      <c r="A697" s="64">
        <v>1</v>
      </c>
      <c r="B697" s="92">
        <f>SUBTOTAL(103,$A$548:A697)</f>
        <v>149</v>
      </c>
      <c r="C697" s="91" t="s">
        <v>1678</v>
      </c>
      <c r="D697" s="126">
        <v>1962</v>
      </c>
      <c r="E697" s="126"/>
      <c r="F697" s="145" t="s">
        <v>1374</v>
      </c>
      <c r="G697" s="126">
        <v>2</v>
      </c>
      <c r="H697" s="126">
        <v>2</v>
      </c>
      <c r="I697" s="117">
        <v>547.5</v>
      </c>
      <c r="J697" s="117">
        <v>547.5</v>
      </c>
      <c r="K697" s="117">
        <f>J697-68.4</f>
        <v>479.1</v>
      </c>
      <c r="L697" s="127">
        <v>42</v>
      </c>
      <c r="M697" s="126" t="s">
        <v>271</v>
      </c>
      <c r="N697" s="126" t="s">
        <v>272</v>
      </c>
      <c r="O697" s="124" t="s">
        <v>274</v>
      </c>
      <c r="P697" s="118">
        <v>3132303.1599999997</v>
      </c>
      <c r="Q697" s="118">
        <v>0</v>
      </c>
      <c r="R697" s="118">
        <v>0</v>
      </c>
      <c r="S697" s="118">
        <f t="shared" si="100"/>
        <v>3132303.1599999997</v>
      </c>
      <c r="T697" s="118">
        <f>P697/I854</f>
        <v>905.31086267890578</v>
      </c>
      <c r="U697" s="118">
        <f t="shared" si="99"/>
        <v>5197.002410958904</v>
      </c>
      <c r="V697" s="183">
        <f t="shared" si="92"/>
        <v>4291.6915482799977</v>
      </c>
      <c r="W697" s="183"/>
      <c r="X697" s="183"/>
      <c r="Y697" s="64">
        <f t="shared" si="93"/>
        <v>5197.002410958904</v>
      </c>
      <c r="AA697" s="64">
        <f t="shared" si="94"/>
        <v>544.9</v>
      </c>
      <c r="AH697" s="64" t="e">
        <f t="shared" si="95"/>
        <v>#N/A</v>
      </c>
      <c r="AS697" s="64" t="e">
        <f t="shared" si="96"/>
        <v>#N/A</v>
      </c>
    </row>
    <row r="698" spans="1:45" s="64" customFormat="1" ht="36" customHeight="1" x14ac:dyDescent="0.9">
      <c r="A698" s="64">
        <v>1</v>
      </c>
      <c r="B698" s="92">
        <f>SUBTOTAL(103,$A$548:A698)</f>
        <v>150</v>
      </c>
      <c r="C698" s="91" t="s">
        <v>1679</v>
      </c>
      <c r="D698" s="126">
        <v>1966</v>
      </c>
      <c r="E698" s="126"/>
      <c r="F698" s="145" t="s">
        <v>1374</v>
      </c>
      <c r="G698" s="126">
        <v>2</v>
      </c>
      <c r="H698" s="126">
        <v>2</v>
      </c>
      <c r="I698" s="117">
        <v>462.6</v>
      </c>
      <c r="J698" s="117">
        <v>462.6</v>
      </c>
      <c r="K698" s="117">
        <f>J698</f>
        <v>462.6</v>
      </c>
      <c r="L698" s="127">
        <v>31</v>
      </c>
      <c r="M698" s="126" t="s">
        <v>271</v>
      </c>
      <c r="N698" s="126" t="s">
        <v>272</v>
      </c>
      <c r="O698" s="124" t="s">
        <v>274</v>
      </c>
      <c r="P698" s="118">
        <v>1937212.2999999998</v>
      </c>
      <c r="Q698" s="118">
        <v>0</v>
      </c>
      <c r="R698" s="118">
        <v>0</v>
      </c>
      <c r="S698" s="118">
        <f t="shared" si="100"/>
        <v>1937212.2999999998</v>
      </c>
      <c r="T698" s="118">
        <f>P698/I855</f>
        <v>1224.3015230992858</v>
      </c>
      <c r="U698" s="118">
        <f t="shared" si="99"/>
        <v>3804.035019455253</v>
      </c>
      <c r="V698" s="183">
        <f t="shared" si="92"/>
        <v>2579.733496355967</v>
      </c>
      <c r="W698" s="183"/>
      <c r="X698" s="183"/>
      <c r="Y698" s="64">
        <f t="shared" si="93"/>
        <v>3804.035019455253</v>
      </c>
      <c r="AA698" s="64">
        <f t="shared" si="94"/>
        <v>337</v>
      </c>
      <c r="AH698" s="64" t="e">
        <f t="shared" si="95"/>
        <v>#N/A</v>
      </c>
      <c r="AS698" s="64" t="e">
        <f t="shared" si="96"/>
        <v>#N/A</v>
      </c>
    </row>
    <row r="699" spans="1:45" s="64" customFormat="1" ht="36" customHeight="1" x14ac:dyDescent="0.9">
      <c r="B699" s="91" t="s">
        <v>782</v>
      </c>
      <c r="C699" s="172"/>
      <c r="D699" s="126" t="s">
        <v>916</v>
      </c>
      <c r="E699" s="126" t="s">
        <v>916</v>
      </c>
      <c r="F699" s="126" t="s">
        <v>916</v>
      </c>
      <c r="G699" s="126" t="s">
        <v>916</v>
      </c>
      <c r="H699" s="126" t="s">
        <v>916</v>
      </c>
      <c r="I699" s="117">
        <f>SUM(I700:I757)</f>
        <v>105550.56999999996</v>
      </c>
      <c r="J699" s="117">
        <f>SUM(J700:J757)</f>
        <v>89284.19</v>
      </c>
      <c r="K699" s="117">
        <f>SUM(K700:K757)</f>
        <v>79782.05</v>
      </c>
      <c r="L699" s="127">
        <f>SUM(L700:L757)</f>
        <v>4360</v>
      </c>
      <c r="M699" s="126" t="s">
        <v>916</v>
      </c>
      <c r="N699" s="126" t="s">
        <v>916</v>
      </c>
      <c r="O699" s="124" t="s">
        <v>916</v>
      </c>
      <c r="P699" s="117">
        <v>107451790.59</v>
      </c>
      <c r="Q699" s="117">
        <f>SUM(Q700:Q757)</f>
        <v>0</v>
      </c>
      <c r="R699" s="117">
        <f>SUM(R700:R757)</f>
        <v>0</v>
      </c>
      <c r="S699" s="117">
        <f>SUM(S700:S757)</f>
        <v>107451790.59</v>
      </c>
      <c r="T699" s="118">
        <f t="shared" si="91"/>
        <v>1018.012414238976</v>
      </c>
      <c r="U699" s="118">
        <f>MAX(U700:U757)</f>
        <v>6204.8163463877399</v>
      </c>
      <c r="V699" s="183">
        <f t="shared" si="92"/>
        <v>5186.803932148764</v>
      </c>
      <c r="W699" s="183"/>
      <c r="X699" s="183"/>
      <c r="Y699" s="64" t="e">
        <f t="shared" si="93"/>
        <v>#N/A</v>
      </c>
      <c r="AA699" s="64" t="e">
        <f t="shared" si="94"/>
        <v>#N/A</v>
      </c>
      <c r="AH699" s="64" t="e">
        <f t="shared" si="95"/>
        <v>#N/A</v>
      </c>
      <c r="AS699" s="64" t="e">
        <f t="shared" si="96"/>
        <v>#N/A</v>
      </c>
    </row>
    <row r="700" spans="1:45" s="64" customFormat="1" ht="36" customHeight="1" x14ac:dyDescent="0.9">
      <c r="A700" s="64">
        <v>1</v>
      </c>
      <c r="B700" s="92">
        <f>SUBTOTAL(103,$A$548:A700)</f>
        <v>151</v>
      </c>
      <c r="C700" s="91" t="s">
        <v>411</v>
      </c>
      <c r="D700" s="126">
        <v>1985</v>
      </c>
      <c r="E700" s="126"/>
      <c r="F700" s="145" t="s">
        <v>273</v>
      </c>
      <c r="G700" s="126">
        <v>5</v>
      </c>
      <c r="H700" s="126">
        <v>6</v>
      </c>
      <c r="I700" s="117">
        <v>4537.2</v>
      </c>
      <c r="J700" s="117">
        <v>4163</v>
      </c>
      <c r="K700" s="117">
        <v>3807.9</v>
      </c>
      <c r="L700" s="127">
        <v>204</v>
      </c>
      <c r="M700" s="126" t="s">
        <v>271</v>
      </c>
      <c r="N700" s="126" t="s">
        <v>275</v>
      </c>
      <c r="O700" s="124" t="s">
        <v>1018</v>
      </c>
      <c r="P700" s="118">
        <v>6634502.3200000003</v>
      </c>
      <c r="Q700" s="118">
        <v>0</v>
      </c>
      <c r="R700" s="118">
        <v>0</v>
      </c>
      <c r="S700" s="118">
        <f t="shared" ref="S700:S757" si="101">P700-Q700-R700</f>
        <v>6634502.3200000003</v>
      </c>
      <c r="T700" s="118">
        <f t="shared" si="91"/>
        <v>1462.245949043463</v>
      </c>
      <c r="U700" s="118">
        <f>Y700</f>
        <v>1607.7877545622853</v>
      </c>
      <c r="V700" s="183">
        <f t="shared" si="92"/>
        <v>145.54180551882223</v>
      </c>
      <c r="W700" s="183"/>
      <c r="X700" s="183"/>
      <c r="Y700" s="64">
        <f t="shared" si="93"/>
        <v>1607.7877545622853</v>
      </c>
      <c r="AA700" s="64">
        <f t="shared" si="94"/>
        <v>1397</v>
      </c>
      <c r="AH700" s="64" t="e">
        <f t="shared" si="95"/>
        <v>#N/A</v>
      </c>
      <c r="AS700" s="64" t="e">
        <f t="shared" si="96"/>
        <v>#N/A</v>
      </c>
    </row>
    <row r="701" spans="1:45" s="64" customFormat="1" ht="36" customHeight="1" x14ac:dyDescent="0.9">
      <c r="A701" s="64">
        <v>1</v>
      </c>
      <c r="B701" s="92">
        <f>SUBTOTAL(103,$A$548:A701)</f>
        <v>152</v>
      </c>
      <c r="C701" s="91" t="s">
        <v>412</v>
      </c>
      <c r="D701" s="126" t="s">
        <v>337</v>
      </c>
      <c r="E701" s="126"/>
      <c r="F701" s="145" t="s">
        <v>273</v>
      </c>
      <c r="G701" s="126">
        <v>9</v>
      </c>
      <c r="H701" s="126">
        <v>1</v>
      </c>
      <c r="I701" s="117">
        <v>2760.5</v>
      </c>
      <c r="J701" s="117">
        <v>2756.6</v>
      </c>
      <c r="K701" s="117">
        <v>2688.2</v>
      </c>
      <c r="L701" s="127">
        <v>123</v>
      </c>
      <c r="M701" s="126" t="s">
        <v>271</v>
      </c>
      <c r="N701" s="126" t="s">
        <v>275</v>
      </c>
      <c r="O701" s="124" t="s">
        <v>330</v>
      </c>
      <c r="P701" s="118">
        <v>2216554.6800000002</v>
      </c>
      <c r="Q701" s="118">
        <v>0</v>
      </c>
      <c r="R701" s="118">
        <v>0</v>
      </c>
      <c r="S701" s="118">
        <f t="shared" si="101"/>
        <v>2216554.6800000002</v>
      </c>
      <c r="T701" s="118">
        <f t="shared" si="91"/>
        <v>802.95405904727409</v>
      </c>
      <c r="U701" s="118">
        <f>T701</f>
        <v>802.95405904727409</v>
      </c>
      <c r="V701" s="183">
        <f t="shared" si="92"/>
        <v>0</v>
      </c>
      <c r="W701" s="183"/>
      <c r="X701" s="183"/>
      <c r="Y701" s="64" t="e">
        <f t="shared" si="93"/>
        <v>#N/A</v>
      </c>
      <c r="AA701" s="64" t="e">
        <f t="shared" si="94"/>
        <v>#N/A</v>
      </c>
      <c r="AH701" s="64" t="e">
        <f t="shared" si="95"/>
        <v>#N/A</v>
      </c>
      <c r="AR701" s="64">
        <f>AS701*2207413/I701</f>
        <v>799.64245607679766</v>
      </c>
      <c r="AS701" s="64">
        <f t="shared" si="96"/>
        <v>1</v>
      </c>
    </row>
    <row r="702" spans="1:45" s="64" customFormat="1" ht="36" customHeight="1" x14ac:dyDescent="0.9">
      <c r="A702" s="64">
        <v>1</v>
      </c>
      <c r="B702" s="92">
        <f>SUBTOTAL(103,$A$548:A702)</f>
        <v>153</v>
      </c>
      <c r="C702" s="91" t="s">
        <v>413</v>
      </c>
      <c r="D702" s="126">
        <v>1987</v>
      </c>
      <c r="E702" s="126"/>
      <c r="F702" s="145" t="s">
        <v>273</v>
      </c>
      <c r="G702" s="126">
        <v>9</v>
      </c>
      <c r="H702" s="126">
        <v>1</v>
      </c>
      <c r="I702" s="117">
        <v>6006.9</v>
      </c>
      <c r="J702" s="117">
        <v>4693</v>
      </c>
      <c r="K702" s="117">
        <v>4333.1000000000004</v>
      </c>
      <c r="L702" s="127">
        <v>292</v>
      </c>
      <c r="M702" s="126" t="s">
        <v>271</v>
      </c>
      <c r="N702" s="126" t="s">
        <v>275</v>
      </c>
      <c r="O702" s="124" t="s">
        <v>329</v>
      </c>
      <c r="P702" s="118">
        <v>4590000</v>
      </c>
      <c r="Q702" s="118">
        <v>0</v>
      </c>
      <c r="R702" s="118">
        <v>0</v>
      </c>
      <c r="S702" s="118">
        <f t="shared" si="101"/>
        <v>4590000</v>
      </c>
      <c r="T702" s="118">
        <f t="shared" si="91"/>
        <v>764.12126055036708</v>
      </c>
      <c r="U702" s="118">
        <f>Y702</f>
        <v>798.01767966838145</v>
      </c>
      <c r="V702" s="183">
        <f t="shared" si="92"/>
        <v>33.896419118014364</v>
      </c>
      <c r="W702" s="183"/>
      <c r="X702" s="183"/>
      <c r="Y702" s="64">
        <f t="shared" si="93"/>
        <v>798.01767966838145</v>
      </c>
      <c r="AA702" s="64">
        <f t="shared" si="94"/>
        <v>918</v>
      </c>
      <c r="AH702" s="64" t="e">
        <f t="shared" si="95"/>
        <v>#N/A</v>
      </c>
      <c r="AS702" s="64" t="e">
        <f t="shared" si="96"/>
        <v>#N/A</v>
      </c>
    </row>
    <row r="703" spans="1:45" s="64" customFormat="1" ht="36" customHeight="1" x14ac:dyDescent="0.9">
      <c r="A703" s="64">
        <v>1</v>
      </c>
      <c r="B703" s="92">
        <f>SUBTOTAL(103,$A$548:A703)</f>
        <v>154</v>
      </c>
      <c r="C703" s="91" t="s">
        <v>414</v>
      </c>
      <c r="D703" s="126">
        <v>1959</v>
      </c>
      <c r="E703" s="126"/>
      <c r="F703" s="145" t="s">
        <v>273</v>
      </c>
      <c r="G703" s="126">
        <v>4</v>
      </c>
      <c r="H703" s="126">
        <v>1</v>
      </c>
      <c r="I703" s="117">
        <v>1756.3</v>
      </c>
      <c r="J703" s="117">
        <v>1356.3</v>
      </c>
      <c r="K703" s="117">
        <v>1024.3</v>
      </c>
      <c r="L703" s="127">
        <v>59</v>
      </c>
      <c r="M703" s="126" t="s">
        <v>271</v>
      </c>
      <c r="N703" s="126" t="s">
        <v>272</v>
      </c>
      <c r="O703" s="124" t="s">
        <v>274</v>
      </c>
      <c r="P703" s="118">
        <v>3250000</v>
      </c>
      <c r="Q703" s="118">
        <v>0</v>
      </c>
      <c r="R703" s="118">
        <v>0</v>
      </c>
      <c r="S703" s="118">
        <f t="shared" si="101"/>
        <v>3250000</v>
      </c>
      <c r="T703" s="118">
        <f t="shared" si="91"/>
        <v>1850.4811250925241</v>
      </c>
      <c r="U703" s="118">
        <f>Y703</f>
        <v>1932.5684678016285</v>
      </c>
      <c r="V703" s="183">
        <f t="shared" si="92"/>
        <v>82.087342709104405</v>
      </c>
      <c r="W703" s="183"/>
      <c r="X703" s="183"/>
      <c r="Y703" s="64">
        <f t="shared" si="93"/>
        <v>1932.5684678016285</v>
      </c>
      <c r="AA703" s="64">
        <f t="shared" si="94"/>
        <v>650</v>
      </c>
      <c r="AH703" s="64" t="e">
        <f t="shared" si="95"/>
        <v>#N/A</v>
      </c>
      <c r="AS703" s="64" t="e">
        <f t="shared" si="96"/>
        <v>#N/A</v>
      </c>
    </row>
    <row r="704" spans="1:45" s="64" customFormat="1" ht="36" customHeight="1" x14ac:dyDescent="0.9">
      <c r="A704" s="64">
        <v>1</v>
      </c>
      <c r="B704" s="92">
        <f>SUBTOTAL(103,$A$548:A704)</f>
        <v>155</v>
      </c>
      <c r="C704" s="91" t="s">
        <v>415</v>
      </c>
      <c r="D704" s="126">
        <v>1941</v>
      </c>
      <c r="E704" s="126"/>
      <c r="F704" s="145" t="s">
        <v>332</v>
      </c>
      <c r="G704" s="126">
        <v>2</v>
      </c>
      <c r="H704" s="126">
        <v>2</v>
      </c>
      <c r="I704" s="117">
        <v>743.7</v>
      </c>
      <c r="J704" s="117">
        <v>550.15</v>
      </c>
      <c r="K704" s="117">
        <v>379.65</v>
      </c>
      <c r="L704" s="127">
        <v>21</v>
      </c>
      <c r="M704" s="126" t="s">
        <v>271</v>
      </c>
      <c r="N704" s="126" t="s">
        <v>275</v>
      </c>
      <c r="O704" s="124" t="s">
        <v>333</v>
      </c>
      <c r="P704" s="118">
        <v>3100000</v>
      </c>
      <c r="Q704" s="118">
        <v>0</v>
      </c>
      <c r="R704" s="118">
        <v>0</v>
      </c>
      <c r="S704" s="118">
        <f t="shared" si="101"/>
        <v>3100000</v>
      </c>
      <c r="T704" s="118">
        <f t="shared" si="91"/>
        <v>4168.3474519295414</v>
      </c>
      <c r="U704" s="118">
        <f>Y704</f>
        <v>4353.2553448971357</v>
      </c>
      <c r="V704" s="183">
        <f t="shared" si="92"/>
        <v>184.90789296759431</v>
      </c>
      <c r="W704" s="183"/>
      <c r="X704" s="183"/>
      <c r="Y704" s="64">
        <f t="shared" si="93"/>
        <v>4353.2553448971357</v>
      </c>
      <c r="AA704" s="64">
        <f t="shared" si="94"/>
        <v>620</v>
      </c>
      <c r="AH704" s="64" t="e">
        <f t="shared" si="95"/>
        <v>#N/A</v>
      </c>
      <c r="AS704" s="64" t="e">
        <f t="shared" si="96"/>
        <v>#N/A</v>
      </c>
    </row>
    <row r="705" spans="1:45" s="64" customFormat="1" ht="36" customHeight="1" x14ac:dyDescent="0.9">
      <c r="A705" s="64">
        <v>1</v>
      </c>
      <c r="B705" s="92">
        <f>SUBTOTAL(103,$A$548:A705)</f>
        <v>156</v>
      </c>
      <c r="C705" s="91" t="s">
        <v>416</v>
      </c>
      <c r="D705" s="126">
        <v>1957</v>
      </c>
      <c r="E705" s="126"/>
      <c r="F705" s="145" t="s">
        <v>273</v>
      </c>
      <c r="G705" s="126">
        <v>2</v>
      </c>
      <c r="H705" s="126">
        <v>2</v>
      </c>
      <c r="I705" s="117">
        <v>706.7</v>
      </c>
      <c r="J705" s="117">
        <v>646.1</v>
      </c>
      <c r="K705" s="117">
        <v>646.1</v>
      </c>
      <c r="L705" s="127">
        <v>23</v>
      </c>
      <c r="M705" s="126" t="s">
        <v>271</v>
      </c>
      <c r="N705" s="126" t="s">
        <v>272</v>
      </c>
      <c r="O705" s="124" t="s">
        <v>274</v>
      </c>
      <c r="P705" s="118">
        <v>3000000</v>
      </c>
      <c r="Q705" s="118">
        <v>0</v>
      </c>
      <c r="R705" s="118">
        <v>0</v>
      </c>
      <c r="S705" s="118">
        <f t="shared" si="101"/>
        <v>3000000</v>
      </c>
      <c r="T705" s="118">
        <f t="shared" si="91"/>
        <v>4245.0827791141928</v>
      </c>
      <c r="U705" s="118">
        <f>Y705</f>
        <v>4433.3946511956983</v>
      </c>
      <c r="V705" s="183">
        <f t="shared" si="92"/>
        <v>188.3118720815055</v>
      </c>
      <c r="W705" s="183"/>
      <c r="X705" s="183"/>
      <c r="Y705" s="64">
        <f t="shared" si="93"/>
        <v>4433.3946511956983</v>
      </c>
      <c r="AA705" s="64">
        <f t="shared" si="94"/>
        <v>600</v>
      </c>
      <c r="AH705" s="64" t="e">
        <f t="shared" si="95"/>
        <v>#N/A</v>
      </c>
      <c r="AS705" s="64" t="e">
        <f t="shared" si="96"/>
        <v>#N/A</v>
      </c>
    </row>
    <row r="706" spans="1:45" s="64" customFormat="1" ht="36" customHeight="1" x14ac:dyDescent="0.9">
      <c r="A706" s="64">
        <v>1</v>
      </c>
      <c r="B706" s="92">
        <f>SUBTOTAL(103,$A$548:A706)</f>
        <v>157</v>
      </c>
      <c r="C706" s="91" t="s">
        <v>203</v>
      </c>
      <c r="D706" s="97">
        <v>1966</v>
      </c>
      <c r="E706" s="126"/>
      <c r="F706" s="145" t="s">
        <v>273</v>
      </c>
      <c r="G706" s="126">
        <v>2</v>
      </c>
      <c r="H706" s="126">
        <v>1</v>
      </c>
      <c r="I706" s="117">
        <v>683.5</v>
      </c>
      <c r="J706" s="117">
        <v>634.5</v>
      </c>
      <c r="K706" s="117">
        <v>531.20000000000005</v>
      </c>
      <c r="L706" s="127">
        <v>28</v>
      </c>
      <c r="M706" s="126" t="s">
        <v>271</v>
      </c>
      <c r="N706" s="126" t="s">
        <v>275</v>
      </c>
      <c r="O706" s="124" t="s">
        <v>334</v>
      </c>
      <c r="P706" s="118">
        <v>686139</v>
      </c>
      <c r="Q706" s="118">
        <v>0</v>
      </c>
      <c r="R706" s="118">
        <v>0</v>
      </c>
      <c r="S706" s="118">
        <f t="shared" si="101"/>
        <v>686139</v>
      </c>
      <c r="T706" s="118">
        <f t="shared" si="91"/>
        <v>1003.8610095098757</v>
      </c>
      <c r="U706" s="118">
        <v>1003.8610095098757</v>
      </c>
      <c r="V706" s="183">
        <f t="shared" si="92"/>
        <v>0</v>
      </c>
      <c r="W706" s="183"/>
      <c r="X706" s="183"/>
      <c r="Y706" s="64" t="e">
        <f t="shared" si="93"/>
        <v>#N/A</v>
      </c>
      <c r="AA706" s="64" t="e">
        <f t="shared" si="94"/>
        <v>#N/A</v>
      </c>
      <c r="AH706" s="64" t="e">
        <f t="shared" si="95"/>
        <v>#N/A</v>
      </c>
      <c r="AS706" s="64" t="e">
        <f t="shared" si="96"/>
        <v>#N/A</v>
      </c>
    </row>
    <row r="707" spans="1:45" s="64" customFormat="1" ht="36" customHeight="1" x14ac:dyDescent="0.9">
      <c r="A707" s="64">
        <v>1</v>
      </c>
      <c r="B707" s="92">
        <f>SUBTOTAL(103,$A$548:A707)</f>
        <v>158</v>
      </c>
      <c r="C707" s="91" t="s">
        <v>204</v>
      </c>
      <c r="D707" s="97">
        <v>1974</v>
      </c>
      <c r="E707" s="126"/>
      <c r="F707" s="145" t="s">
        <v>273</v>
      </c>
      <c r="G707" s="126">
        <v>2</v>
      </c>
      <c r="H707" s="126">
        <v>2</v>
      </c>
      <c r="I707" s="117">
        <v>762</v>
      </c>
      <c r="J707" s="117">
        <v>702.6</v>
      </c>
      <c r="K707" s="117">
        <v>623.1</v>
      </c>
      <c r="L707" s="127">
        <v>48</v>
      </c>
      <c r="M707" s="126" t="s">
        <v>271</v>
      </c>
      <c r="N707" s="126" t="s">
        <v>275</v>
      </c>
      <c r="O707" s="124" t="s">
        <v>334</v>
      </c>
      <c r="P707" s="118">
        <v>783943</v>
      </c>
      <c r="Q707" s="118">
        <v>0</v>
      </c>
      <c r="R707" s="118">
        <v>0</v>
      </c>
      <c r="S707" s="118">
        <f t="shared" si="101"/>
        <v>783943</v>
      </c>
      <c r="T707" s="118">
        <f t="shared" si="91"/>
        <v>1028.7965879265091</v>
      </c>
      <c r="U707" s="118">
        <v>1028.7965879265091</v>
      </c>
      <c r="V707" s="183">
        <f t="shared" si="92"/>
        <v>0</v>
      </c>
      <c r="W707" s="183"/>
      <c r="X707" s="183"/>
      <c r="Y707" s="64" t="e">
        <f t="shared" si="93"/>
        <v>#N/A</v>
      </c>
      <c r="AA707" s="64" t="e">
        <f t="shared" si="94"/>
        <v>#N/A</v>
      </c>
      <c r="AH707" s="64" t="e">
        <f t="shared" si="95"/>
        <v>#N/A</v>
      </c>
      <c r="AS707" s="64" t="e">
        <f t="shared" si="96"/>
        <v>#N/A</v>
      </c>
    </row>
    <row r="708" spans="1:45" s="64" customFormat="1" ht="36" customHeight="1" x14ac:dyDescent="0.9">
      <c r="A708" s="64">
        <v>1</v>
      </c>
      <c r="B708" s="92">
        <f>SUBTOTAL(103,$A$548:A708)</f>
        <v>159</v>
      </c>
      <c r="C708" s="91" t="s">
        <v>205</v>
      </c>
      <c r="D708" s="126">
        <v>1973</v>
      </c>
      <c r="E708" s="126"/>
      <c r="F708" s="145" t="s">
        <v>273</v>
      </c>
      <c r="G708" s="126">
        <v>2</v>
      </c>
      <c r="H708" s="126">
        <v>2</v>
      </c>
      <c r="I708" s="117">
        <v>746.5</v>
      </c>
      <c r="J708" s="117">
        <v>687.5</v>
      </c>
      <c r="K708" s="117">
        <v>552</v>
      </c>
      <c r="L708" s="127">
        <v>48</v>
      </c>
      <c r="M708" s="126" t="s">
        <v>271</v>
      </c>
      <c r="N708" s="126" t="s">
        <v>275</v>
      </c>
      <c r="O708" s="124" t="s">
        <v>334</v>
      </c>
      <c r="P708" s="118">
        <v>776127.96</v>
      </c>
      <c r="Q708" s="118">
        <v>0</v>
      </c>
      <c r="R708" s="118">
        <v>0</v>
      </c>
      <c r="S708" s="118">
        <f t="shared" si="101"/>
        <v>776127.96</v>
      </c>
      <c r="T708" s="118">
        <f t="shared" si="91"/>
        <v>1039.6891627595444</v>
      </c>
      <c r="U708" s="118">
        <v>1039.6891627595444</v>
      </c>
      <c r="V708" s="183">
        <f t="shared" si="92"/>
        <v>0</v>
      </c>
      <c r="W708" s="183"/>
      <c r="X708" s="183"/>
      <c r="Y708" s="64" t="e">
        <f t="shared" si="93"/>
        <v>#N/A</v>
      </c>
      <c r="AA708" s="64" t="e">
        <f t="shared" si="94"/>
        <v>#N/A</v>
      </c>
      <c r="AH708" s="64" t="e">
        <f t="shared" si="95"/>
        <v>#N/A</v>
      </c>
      <c r="AS708" s="64" t="e">
        <f t="shared" si="96"/>
        <v>#N/A</v>
      </c>
    </row>
    <row r="709" spans="1:45" s="64" customFormat="1" ht="36" customHeight="1" x14ac:dyDescent="0.9">
      <c r="A709" s="64">
        <v>1</v>
      </c>
      <c r="B709" s="92">
        <f>SUBTOTAL(103,$A$548:A709)</f>
        <v>160</v>
      </c>
      <c r="C709" s="91" t="s">
        <v>417</v>
      </c>
      <c r="D709" s="126">
        <v>1960</v>
      </c>
      <c r="E709" s="126"/>
      <c r="F709" s="145" t="s">
        <v>273</v>
      </c>
      <c r="G709" s="126">
        <v>2</v>
      </c>
      <c r="H709" s="126">
        <v>2</v>
      </c>
      <c r="I709" s="117">
        <v>582.70000000000005</v>
      </c>
      <c r="J709" s="117">
        <v>535.70000000000005</v>
      </c>
      <c r="K709" s="117">
        <v>506.30000000000007</v>
      </c>
      <c r="L709" s="127">
        <v>28</v>
      </c>
      <c r="M709" s="126" t="s">
        <v>271</v>
      </c>
      <c r="N709" s="126" t="s">
        <v>275</v>
      </c>
      <c r="O709" s="124" t="s">
        <v>329</v>
      </c>
      <c r="P709" s="118">
        <v>2375000</v>
      </c>
      <c r="Q709" s="118">
        <v>0</v>
      </c>
      <c r="R709" s="118">
        <v>0</v>
      </c>
      <c r="S709" s="118">
        <f t="shared" si="101"/>
        <v>2375000</v>
      </c>
      <c r="T709" s="118">
        <f t="shared" si="91"/>
        <v>4075.8537841084603</v>
      </c>
      <c r="U709" s="118">
        <f t="shared" ref="U709:U723" si="102">Y709</f>
        <v>4274.5814312682342</v>
      </c>
      <c r="V709" s="183">
        <f t="shared" si="92"/>
        <v>198.72764715977382</v>
      </c>
      <c r="W709" s="183"/>
      <c r="X709" s="183"/>
      <c r="Y709" s="64">
        <f t="shared" si="93"/>
        <v>4274.5814312682342</v>
      </c>
      <c r="AA709" s="64">
        <f t="shared" si="94"/>
        <v>477</v>
      </c>
      <c r="AH709" s="64" t="e">
        <f t="shared" si="95"/>
        <v>#N/A</v>
      </c>
      <c r="AS709" s="64" t="e">
        <f t="shared" si="96"/>
        <v>#N/A</v>
      </c>
    </row>
    <row r="710" spans="1:45" s="64" customFormat="1" ht="36" customHeight="1" x14ac:dyDescent="0.9">
      <c r="A710" s="64">
        <v>1</v>
      </c>
      <c r="B710" s="92">
        <f>SUBTOTAL(103,$A$548:A710)</f>
        <v>161</v>
      </c>
      <c r="C710" s="91" t="s">
        <v>418</v>
      </c>
      <c r="D710" s="126">
        <v>1960</v>
      </c>
      <c r="E710" s="126"/>
      <c r="F710" s="145" t="s">
        <v>273</v>
      </c>
      <c r="G710" s="126">
        <v>2</v>
      </c>
      <c r="H710" s="126">
        <v>2</v>
      </c>
      <c r="I710" s="117">
        <v>592.20000000000005</v>
      </c>
      <c r="J710" s="117">
        <v>550.70000000000005</v>
      </c>
      <c r="K710" s="117">
        <v>444.6</v>
      </c>
      <c r="L710" s="127">
        <v>36</v>
      </c>
      <c r="M710" s="126" t="s">
        <v>271</v>
      </c>
      <c r="N710" s="126" t="s">
        <v>275</v>
      </c>
      <c r="O710" s="124" t="s">
        <v>336</v>
      </c>
      <c r="P710" s="118">
        <v>2360000</v>
      </c>
      <c r="Q710" s="118">
        <v>0</v>
      </c>
      <c r="R710" s="118">
        <v>0</v>
      </c>
      <c r="S710" s="118">
        <f t="shared" si="101"/>
        <v>2360000</v>
      </c>
      <c r="T710" s="118">
        <f t="shared" si="91"/>
        <v>3985.1401553529208</v>
      </c>
      <c r="U710" s="118">
        <f t="shared" si="102"/>
        <v>4161.9209726443769</v>
      </c>
      <c r="V710" s="183">
        <f t="shared" si="92"/>
        <v>176.78081729145606</v>
      </c>
      <c r="W710" s="183"/>
      <c r="X710" s="183"/>
      <c r="Y710" s="64">
        <f t="shared" si="93"/>
        <v>4161.9209726443769</v>
      </c>
      <c r="AA710" s="64">
        <f t="shared" si="94"/>
        <v>472</v>
      </c>
      <c r="AH710" s="64" t="e">
        <f t="shared" si="95"/>
        <v>#N/A</v>
      </c>
      <c r="AS710" s="64" t="e">
        <f t="shared" si="96"/>
        <v>#N/A</v>
      </c>
    </row>
    <row r="711" spans="1:45" s="64" customFormat="1" ht="36" customHeight="1" x14ac:dyDescent="0.9">
      <c r="A711" s="64">
        <v>1</v>
      </c>
      <c r="B711" s="92">
        <f>SUBTOTAL(103,$A$548:A711)</f>
        <v>162</v>
      </c>
      <c r="C711" s="91" t="s">
        <v>419</v>
      </c>
      <c r="D711" s="126">
        <v>1950</v>
      </c>
      <c r="E711" s="126"/>
      <c r="F711" s="145" t="s">
        <v>273</v>
      </c>
      <c r="G711" s="126">
        <v>3</v>
      </c>
      <c r="H711" s="126">
        <v>2</v>
      </c>
      <c r="I711" s="117">
        <v>894.76</v>
      </c>
      <c r="J711" s="117">
        <v>604</v>
      </c>
      <c r="K711" s="117">
        <v>604</v>
      </c>
      <c r="L711" s="127">
        <v>19</v>
      </c>
      <c r="M711" s="126" t="s">
        <v>271</v>
      </c>
      <c r="N711" s="126" t="s">
        <v>275</v>
      </c>
      <c r="O711" s="124" t="s">
        <v>334</v>
      </c>
      <c r="P711" s="118">
        <v>2345000</v>
      </c>
      <c r="Q711" s="118">
        <v>0</v>
      </c>
      <c r="R711" s="118">
        <v>0</v>
      </c>
      <c r="S711" s="118">
        <f t="shared" si="101"/>
        <v>2345000</v>
      </c>
      <c r="T711" s="118">
        <f t="shared" si="91"/>
        <v>2620.8145200947743</v>
      </c>
      <c r="U711" s="118">
        <f t="shared" si="102"/>
        <v>2737.0738522061783</v>
      </c>
      <c r="V711" s="183">
        <f t="shared" si="92"/>
        <v>116.25933211140409</v>
      </c>
      <c r="W711" s="183"/>
      <c r="X711" s="183"/>
      <c r="Y711" s="64">
        <f t="shared" si="93"/>
        <v>2737.0738522061783</v>
      </c>
      <c r="AA711" s="64">
        <f t="shared" si="94"/>
        <v>469</v>
      </c>
      <c r="AH711" s="64" t="e">
        <f t="shared" si="95"/>
        <v>#N/A</v>
      </c>
      <c r="AS711" s="64" t="e">
        <f t="shared" si="96"/>
        <v>#N/A</v>
      </c>
    </row>
    <row r="712" spans="1:45" s="64" customFormat="1" ht="36" customHeight="1" x14ac:dyDescent="0.9">
      <c r="A712" s="64">
        <v>1</v>
      </c>
      <c r="B712" s="92">
        <f>SUBTOTAL(103,$A$548:A712)</f>
        <v>163</v>
      </c>
      <c r="C712" s="91" t="s">
        <v>420</v>
      </c>
      <c r="D712" s="126">
        <v>1977</v>
      </c>
      <c r="E712" s="126"/>
      <c r="F712" s="145" t="s">
        <v>273</v>
      </c>
      <c r="G712" s="126">
        <v>9</v>
      </c>
      <c r="H712" s="126">
        <v>2</v>
      </c>
      <c r="I712" s="117">
        <v>4984</v>
      </c>
      <c r="J712" s="117">
        <v>3763.9</v>
      </c>
      <c r="K712" s="117">
        <v>3573.6</v>
      </c>
      <c r="L712" s="127">
        <v>172</v>
      </c>
      <c r="M712" s="126" t="s">
        <v>271</v>
      </c>
      <c r="N712" s="126" t="s">
        <v>275</v>
      </c>
      <c r="O712" s="124" t="s">
        <v>1018</v>
      </c>
      <c r="P712" s="118">
        <v>6570450</v>
      </c>
      <c r="Q712" s="118">
        <v>0</v>
      </c>
      <c r="R712" s="118">
        <v>0</v>
      </c>
      <c r="S712" s="118">
        <f t="shared" si="101"/>
        <v>6570450</v>
      </c>
      <c r="T712" s="118">
        <f t="shared" si="91"/>
        <v>1318.3085874799358</v>
      </c>
      <c r="U712" s="118">
        <f t="shared" si="102"/>
        <v>1376.6944622792937</v>
      </c>
      <c r="V712" s="183">
        <f t="shared" si="92"/>
        <v>58.385874799357907</v>
      </c>
      <c r="W712" s="183"/>
      <c r="X712" s="183"/>
      <c r="Y712" s="64">
        <f t="shared" si="93"/>
        <v>1376.6944622792937</v>
      </c>
      <c r="AA712" s="64">
        <f t="shared" si="94"/>
        <v>1314</v>
      </c>
      <c r="AH712" s="64" t="e">
        <f t="shared" si="95"/>
        <v>#N/A</v>
      </c>
      <c r="AS712" s="64" t="e">
        <f t="shared" si="96"/>
        <v>#N/A</v>
      </c>
    </row>
    <row r="713" spans="1:45" s="64" customFormat="1" ht="36" customHeight="1" x14ac:dyDescent="0.9">
      <c r="A713" s="64">
        <v>1</v>
      </c>
      <c r="B713" s="92">
        <f>SUBTOTAL(103,$A$548:A713)</f>
        <v>164</v>
      </c>
      <c r="C713" s="91" t="s">
        <v>421</v>
      </c>
      <c r="D713" s="126">
        <v>1961</v>
      </c>
      <c r="E713" s="126"/>
      <c r="F713" s="145" t="s">
        <v>273</v>
      </c>
      <c r="G713" s="126">
        <v>4</v>
      </c>
      <c r="H713" s="126">
        <v>2</v>
      </c>
      <c r="I713" s="117">
        <v>2700.93</v>
      </c>
      <c r="J713" s="117">
        <v>2360.79</v>
      </c>
      <c r="K713" s="117">
        <v>2305.5700000000002</v>
      </c>
      <c r="L713" s="127">
        <v>85</v>
      </c>
      <c r="M713" s="126" t="s">
        <v>271</v>
      </c>
      <c r="N713" s="126" t="s">
        <v>275</v>
      </c>
      <c r="O713" s="124" t="s">
        <v>329</v>
      </c>
      <c r="P713" s="118">
        <v>5669999.9900000002</v>
      </c>
      <c r="Q713" s="118">
        <v>0</v>
      </c>
      <c r="R713" s="118">
        <v>0</v>
      </c>
      <c r="S713" s="118">
        <f t="shared" si="101"/>
        <v>5669999.9900000002</v>
      </c>
      <c r="T713" s="118">
        <f t="shared" si="91"/>
        <v>2099.2769120265984</v>
      </c>
      <c r="U713" s="118">
        <f t="shared" si="102"/>
        <v>2192.4008397107664</v>
      </c>
      <c r="V713" s="183">
        <f t="shared" si="92"/>
        <v>93.123927684167938</v>
      </c>
      <c r="W713" s="183"/>
      <c r="X713" s="183"/>
      <c r="Y713" s="64">
        <f t="shared" si="93"/>
        <v>2192.4008397107664</v>
      </c>
      <c r="AA713" s="64">
        <f t="shared" si="94"/>
        <v>1134</v>
      </c>
      <c r="AH713" s="64" t="e">
        <f t="shared" si="95"/>
        <v>#N/A</v>
      </c>
      <c r="AS713" s="64" t="e">
        <f t="shared" si="96"/>
        <v>#N/A</v>
      </c>
    </row>
    <row r="714" spans="1:45" s="64" customFormat="1" ht="36" customHeight="1" x14ac:dyDescent="0.9">
      <c r="A714" s="64">
        <v>1</v>
      </c>
      <c r="B714" s="92">
        <f>SUBTOTAL(103,$A$548:A714)</f>
        <v>165</v>
      </c>
      <c r="C714" s="91" t="s">
        <v>422</v>
      </c>
      <c r="D714" s="126">
        <v>1963</v>
      </c>
      <c r="E714" s="126"/>
      <c r="F714" s="145" t="s">
        <v>273</v>
      </c>
      <c r="G714" s="126">
        <v>4</v>
      </c>
      <c r="H714" s="126">
        <v>2</v>
      </c>
      <c r="I714" s="117">
        <v>1374.8</v>
      </c>
      <c r="J714" s="117">
        <v>1010.2</v>
      </c>
      <c r="K714" s="117">
        <v>1010.2</v>
      </c>
      <c r="L714" s="127">
        <v>43</v>
      </c>
      <c r="M714" s="126" t="s">
        <v>271</v>
      </c>
      <c r="N714" s="126" t="s">
        <v>275</v>
      </c>
      <c r="O714" s="124" t="s">
        <v>329</v>
      </c>
      <c r="P714" s="118">
        <v>2895000</v>
      </c>
      <c r="Q714" s="118">
        <v>0</v>
      </c>
      <c r="R714" s="118">
        <v>0</v>
      </c>
      <c r="S714" s="118">
        <f t="shared" si="101"/>
        <v>2895000</v>
      </c>
      <c r="T714" s="118">
        <f t="shared" si="91"/>
        <v>2105.760837940064</v>
      </c>
      <c r="U714" s="118">
        <f t="shared" si="102"/>
        <v>2199.1723887110857</v>
      </c>
      <c r="V714" s="183">
        <f t="shared" si="92"/>
        <v>93.411550771021666</v>
      </c>
      <c r="W714" s="183"/>
      <c r="X714" s="183"/>
      <c r="Y714" s="64">
        <f t="shared" si="93"/>
        <v>2199.1723887110857</v>
      </c>
      <c r="AA714" s="64">
        <f t="shared" si="94"/>
        <v>579</v>
      </c>
      <c r="AH714" s="64" t="e">
        <f t="shared" si="95"/>
        <v>#N/A</v>
      </c>
      <c r="AS714" s="64" t="e">
        <f t="shared" si="96"/>
        <v>#N/A</v>
      </c>
    </row>
    <row r="715" spans="1:45" s="64" customFormat="1" ht="36" customHeight="1" x14ac:dyDescent="0.9">
      <c r="A715" s="64">
        <v>1</v>
      </c>
      <c r="B715" s="92">
        <f>SUBTOTAL(103,$A$548:A715)</f>
        <v>166</v>
      </c>
      <c r="C715" s="91" t="s">
        <v>423</v>
      </c>
      <c r="D715" s="126">
        <v>1958</v>
      </c>
      <c r="E715" s="126"/>
      <c r="F715" s="145" t="s">
        <v>273</v>
      </c>
      <c r="G715" s="126">
        <v>2</v>
      </c>
      <c r="H715" s="126">
        <v>2</v>
      </c>
      <c r="I715" s="117">
        <v>653.70000000000005</v>
      </c>
      <c r="J715" s="117">
        <v>606</v>
      </c>
      <c r="K715" s="117">
        <v>538.1</v>
      </c>
      <c r="L715" s="127">
        <v>27</v>
      </c>
      <c r="M715" s="126" t="s">
        <v>271</v>
      </c>
      <c r="N715" s="126" t="s">
        <v>275</v>
      </c>
      <c r="O715" s="124" t="s">
        <v>333</v>
      </c>
      <c r="P715" s="118">
        <v>2850000</v>
      </c>
      <c r="Q715" s="118">
        <v>0</v>
      </c>
      <c r="R715" s="118">
        <v>0</v>
      </c>
      <c r="S715" s="118">
        <f t="shared" si="101"/>
        <v>2850000</v>
      </c>
      <c r="T715" s="118">
        <f t="shared" si="91"/>
        <v>4359.7980725103253</v>
      </c>
      <c r="U715" s="118">
        <f t="shared" si="102"/>
        <v>4553.1987150068835</v>
      </c>
      <c r="V715" s="183">
        <f t="shared" si="92"/>
        <v>193.40064249655825</v>
      </c>
      <c r="W715" s="183"/>
      <c r="X715" s="183"/>
      <c r="Y715" s="64">
        <f t="shared" si="93"/>
        <v>4553.1987150068835</v>
      </c>
      <c r="AA715" s="64">
        <f t="shared" si="94"/>
        <v>570</v>
      </c>
      <c r="AH715" s="64" t="e">
        <f t="shared" si="95"/>
        <v>#N/A</v>
      </c>
      <c r="AS715" s="64" t="e">
        <f t="shared" si="96"/>
        <v>#N/A</v>
      </c>
    </row>
    <row r="716" spans="1:45" s="64" customFormat="1" ht="36" customHeight="1" x14ac:dyDescent="0.9">
      <c r="A716" s="64">
        <v>1</v>
      </c>
      <c r="B716" s="92">
        <f>SUBTOTAL(103,$A$548:A716)</f>
        <v>167</v>
      </c>
      <c r="C716" s="91" t="s">
        <v>424</v>
      </c>
      <c r="D716" s="126">
        <v>1961</v>
      </c>
      <c r="E716" s="126"/>
      <c r="F716" s="145" t="s">
        <v>273</v>
      </c>
      <c r="G716" s="126">
        <v>2</v>
      </c>
      <c r="H716" s="126">
        <v>1</v>
      </c>
      <c r="I716" s="117">
        <v>291.64999999999998</v>
      </c>
      <c r="J716" s="117">
        <v>275.13</v>
      </c>
      <c r="K716" s="117">
        <v>135.19999999999999</v>
      </c>
      <c r="L716" s="127">
        <v>18</v>
      </c>
      <c r="M716" s="126" t="s">
        <v>271</v>
      </c>
      <c r="N716" s="126" t="s">
        <v>272</v>
      </c>
      <c r="O716" s="124" t="s">
        <v>274</v>
      </c>
      <c r="P716" s="118">
        <v>1600000</v>
      </c>
      <c r="Q716" s="118">
        <v>0</v>
      </c>
      <c r="R716" s="118">
        <v>0</v>
      </c>
      <c r="S716" s="118">
        <f t="shared" si="101"/>
        <v>1600000</v>
      </c>
      <c r="T716" s="118">
        <f t="shared" si="91"/>
        <v>5486.0277730156013</v>
      </c>
      <c r="U716" s="118">
        <f t="shared" si="102"/>
        <v>5765.1966398079894</v>
      </c>
      <c r="V716" s="183">
        <f t="shared" si="92"/>
        <v>279.16886679238814</v>
      </c>
      <c r="W716" s="183"/>
      <c r="X716" s="183"/>
      <c r="Y716" s="64">
        <f t="shared" si="93"/>
        <v>5765.1966398079894</v>
      </c>
      <c r="AA716" s="64">
        <f t="shared" si="94"/>
        <v>322</v>
      </c>
      <c r="AH716" s="64" t="e">
        <f t="shared" si="95"/>
        <v>#N/A</v>
      </c>
      <c r="AS716" s="64" t="e">
        <f t="shared" si="96"/>
        <v>#N/A</v>
      </c>
    </row>
    <row r="717" spans="1:45" s="64" customFormat="1" ht="36" customHeight="1" x14ac:dyDescent="0.9">
      <c r="A717" s="64">
        <v>1</v>
      </c>
      <c r="B717" s="92">
        <f>SUBTOTAL(103,$A$548:A717)</f>
        <v>168</v>
      </c>
      <c r="C717" s="91" t="s">
        <v>425</v>
      </c>
      <c r="D717" s="126">
        <v>1971</v>
      </c>
      <c r="E717" s="126"/>
      <c r="F717" s="145" t="s">
        <v>273</v>
      </c>
      <c r="G717" s="126">
        <v>5</v>
      </c>
      <c r="H717" s="126">
        <v>6</v>
      </c>
      <c r="I717" s="117">
        <v>5077.5</v>
      </c>
      <c r="J717" s="117">
        <v>3712.4</v>
      </c>
      <c r="K717" s="117">
        <v>1549.0700000000002</v>
      </c>
      <c r="L717" s="127">
        <v>164</v>
      </c>
      <c r="M717" s="126" t="s">
        <v>271</v>
      </c>
      <c r="N717" s="126" t="s">
        <v>275</v>
      </c>
      <c r="O717" s="124" t="s">
        <v>336</v>
      </c>
      <c r="P717" s="118">
        <v>8150000</v>
      </c>
      <c r="Q717" s="118">
        <v>0</v>
      </c>
      <c r="R717" s="118">
        <v>0</v>
      </c>
      <c r="S717" s="118">
        <f t="shared" si="101"/>
        <v>8150000</v>
      </c>
      <c r="T717" s="118">
        <f t="shared" si="91"/>
        <v>1605.1206302314131</v>
      </c>
      <c r="U717" s="118">
        <f t="shared" si="102"/>
        <v>1676.3237813884787</v>
      </c>
      <c r="V717" s="183">
        <f t="shared" si="92"/>
        <v>71.203151157065577</v>
      </c>
      <c r="W717" s="183"/>
      <c r="X717" s="183"/>
      <c r="Y717" s="64">
        <f t="shared" si="93"/>
        <v>1676.3237813884787</v>
      </c>
      <c r="AA717" s="64">
        <f t="shared" si="94"/>
        <v>1630</v>
      </c>
      <c r="AH717" s="64" t="e">
        <f t="shared" si="95"/>
        <v>#N/A</v>
      </c>
      <c r="AS717" s="64" t="e">
        <f t="shared" si="96"/>
        <v>#N/A</v>
      </c>
    </row>
    <row r="718" spans="1:45" s="64" customFormat="1" ht="36" customHeight="1" x14ac:dyDescent="0.9">
      <c r="A718" s="64">
        <v>1</v>
      </c>
      <c r="B718" s="92">
        <f>SUBTOTAL(103,$A$548:A718)</f>
        <v>169</v>
      </c>
      <c r="C718" s="91" t="s">
        <v>426</v>
      </c>
      <c r="D718" s="126">
        <v>1973</v>
      </c>
      <c r="E718" s="126"/>
      <c r="F718" s="145" t="s">
        <v>332</v>
      </c>
      <c r="G718" s="126">
        <v>2</v>
      </c>
      <c r="H718" s="126">
        <v>2</v>
      </c>
      <c r="I718" s="117">
        <v>816.6</v>
      </c>
      <c r="J718" s="117">
        <v>537.5</v>
      </c>
      <c r="K718" s="117">
        <v>202.60000000000002</v>
      </c>
      <c r="L718" s="127">
        <v>29</v>
      </c>
      <c r="M718" s="126" t="s">
        <v>271</v>
      </c>
      <c r="N718" s="126" t="s">
        <v>275</v>
      </c>
      <c r="O718" s="124" t="s">
        <v>333</v>
      </c>
      <c r="P718" s="118">
        <v>2500000</v>
      </c>
      <c r="Q718" s="118">
        <v>0</v>
      </c>
      <c r="R718" s="118">
        <v>0</v>
      </c>
      <c r="S718" s="118">
        <f t="shared" si="101"/>
        <v>2500000</v>
      </c>
      <c r="T718" s="118">
        <f t="shared" si="91"/>
        <v>3061.4744060739649</v>
      </c>
      <c r="U718" s="118">
        <f t="shared" si="102"/>
        <v>3197.2814107274062</v>
      </c>
      <c r="V718" s="183">
        <f t="shared" si="92"/>
        <v>135.80700465344125</v>
      </c>
      <c r="W718" s="183"/>
      <c r="X718" s="183"/>
      <c r="Y718" s="64">
        <f t="shared" si="93"/>
        <v>3197.2814107274062</v>
      </c>
      <c r="AA718" s="64">
        <f t="shared" si="94"/>
        <v>500</v>
      </c>
      <c r="AH718" s="64" t="e">
        <f t="shared" si="95"/>
        <v>#N/A</v>
      </c>
      <c r="AS718" s="64" t="e">
        <f t="shared" si="96"/>
        <v>#N/A</v>
      </c>
    </row>
    <row r="719" spans="1:45" s="64" customFormat="1" ht="36" customHeight="1" x14ac:dyDescent="0.9">
      <c r="A719" s="64">
        <v>1</v>
      </c>
      <c r="B719" s="92">
        <f>SUBTOTAL(103,$A$548:A719)</f>
        <v>170</v>
      </c>
      <c r="C719" s="91" t="s">
        <v>427</v>
      </c>
      <c r="D719" s="126">
        <v>1954</v>
      </c>
      <c r="E719" s="126"/>
      <c r="F719" s="145" t="s">
        <v>332</v>
      </c>
      <c r="G719" s="126">
        <v>2</v>
      </c>
      <c r="H719" s="126">
        <v>2</v>
      </c>
      <c r="I719" s="117">
        <v>441</v>
      </c>
      <c r="J719" s="117">
        <v>399.8</v>
      </c>
      <c r="K719" s="117">
        <v>310.20000000000005</v>
      </c>
      <c r="L719" s="127">
        <v>28</v>
      </c>
      <c r="M719" s="126" t="s">
        <v>271</v>
      </c>
      <c r="N719" s="126" t="s">
        <v>275</v>
      </c>
      <c r="O719" s="124" t="s">
        <v>333</v>
      </c>
      <c r="P719" s="118">
        <v>2131474</v>
      </c>
      <c r="Q719" s="118">
        <v>0</v>
      </c>
      <c r="R719" s="118">
        <v>0</v>
      </c>
      <c r="S719" s="118">
        <f t="shared" si="101"/>
        <v>2131474</v>
      </c>
      <c r="T719" s="118">
        <f t="shared" si="91"/>
        <v>4833.2743764172337</v>
      </c>
      <c r="U719" s="118">
        <f t="shared" si="102"/>
        <v>4973.1428571428569</v>
      </c>
      <c r="V719" s="183">
        <f t="shared" si="92"/>
        <v>139.86848072562316</v>
      </c>
      <c r="W719" s="183"/>
      <c r="X719" s="183"/>
      <c r="Y719" s="64">
        <f t="shared" si="93"/>
        <v>4973.1428571428569</v>
      </c>
      <c r="AA719" s="64">
        <f t="shared" si="94"/>
        <v>420</v>
      </c>
      <c r="AH719" s="64" t="e">
        <f t="shared" si="95"/>
        <v>#N/A</v>
      </c>
      <c r="AS719" s="64" t="e">
        <f t="shared" si="96"/>
        <v>#N/A</v>
      </c>
    </row>
    <row r="720" spans="1:45" s="64" customFormat="1" ht="36" customHeight="1" x14ac:dyDescent="0.9">
      <c r="A720" s="64">
        <v>1</v>
      </c>
      <c r="B720" s="92">
        <f>SUBTOTAL(103,$A$548:A720)</f>
        <v>171</v>
      </c>
      <c r="C720" s="91" t="s">
        <v>206</v>
      </c>
      <c r="D720" s="126">
        <v>1980</v>
      </c>
      <c r="E720" s="126"/>
      <c r="F720" s="145" t="s">
        <v>273</v>
      </c>
      <c r="G720" s="126">
        <v>2</v>
      </c>
      <c r="H720" s="126">
        <v>3</v>
      </c>
      <c r="I720" s="117">
        <v>962.21999999999991</v>
      </c>
      <c r="J720" s="117">
        <v>875.92</v>
      </c>
      <c r="K720" s="117">
        <v>831.42</v>
      </c>
      <c r="L720" s="127">
        <v>32</v>
      </c>
      <c r="M720" s="126" t="s">
        <v>271</v>
      </c>
      <c r="N720" s="126" t="s">
        <v>275</v>
      </c>
      <c r="O720" s="124" t="s">
        <v>335</v>
      </c>
      <c r="P720" s="118">
        <v>3697950</v>
      </c>
      <c r="Q720" s="118">
        <v>0</v>
      </c>
      <c r="R720" s="118">
        <v>0</v>
      </c>
      <c r="S720" s="118">
        <f t="shared" si="101"/>
        <v>3697950</v>
      </c>
      <c r="T720" s="118">
        <f t="shared" si="91"/>
        <v>3843.143979547297</v>
      </c>
      <c r="U720" s="118">
        <f>T720</f>
        <v>3843.143979547297</v>
      </c>
      <c r="V720" s="183">
        <f t="shared" si="92"/>
        <v>0</v>
      </c>
      <c r="W720" s="183"/>
      <c r="X720" s="183"/>
      <c r="Y720" s="64">
        <f t="shared" si="93"/>
        <v>3798.7778262767356</v>
      </c>
      <c r="AA720" s="64">
        <f t="shared" si="94"/>
        <v>700</v>
      </c>
      <c r="AH720" s="64" t="e">
        <f t="shared" si="95"/>
        <v>#N/A</v>
      </c>
      <c r="AS720" s="64" t="e">
        <f t="shared" si="96"/>
        <v>#N/A</v>
      </c>
    </row>
    <row r="721" spans="1:45" s="64" customFormat="1" ht="36" customHeight="1" x14ac:dyDescent="0.9">
      <c r="A721" s="64">
        <v>1</v>
      </c>
      <c r="B721" s="92">
        <f>SUBTOTAL(103,$A$548:A721)</f>
        <v>172</v>
      </c>
      <c r="C721" s="91" t="s">
        <v>208</v>
      </c>
      <c r="D721" s="126">
        <v>1981</v>
      </c>
      <c r="E721" s="126"/>
      <c r="F721" s="145" t="s">
        <v>273</v>
      </c>
      <c r="G721" s="126">
        <v>2</v>
      </c>
      <c r="H721" s="126">
        <v>3</v>
      </c>
      <c r="I721" s="117">
        <v>955.1</v>
      </c>
      <c r="J721" s="117">
        <v>865.5</v>
      </c>
      <c r="K721" s="117">
        <v>865.5</v>
      </c>
      <c r="L721" s="127">
        <v>47</v>
      </c>
      <c r="M721" s="126" t="s">
        <v>271</v>
      </c>
      <c r="N721" s="126" t="s">
        <v>275</v>
      </c>
      <c r="O721" s="124" t="s">
        <v>335</v>
      </c>
      <c r="P721" s="118">
        <v>3680000</v>
      </c>
      <c r="Q721" s="118">
        <v>0</v>
      </c>
      <c r="R721" s="118">
        <v>0</v>
      </c>
      <c r="S721" s="118">
        <f t="shared" si="101"/>
        <v>3680000</v>
      </c>
      <c r="T721" s="118">
        <f t="shared" si="91"/>
        <v>3852.9996858967647</v>
      </c>
      <c r="U721" s="118">
        <f>T721</f>
        <v>3852.9996858967647</v>
      </c>
      <c r="V721" s="183">
        <f t="shared" ref="V721:V784" si="103">U721-T721</f>
        <v>0</v>
      </c>
      <c r="W721" s="183"/>
      <c r="X721" s="183"/>
      <c r="Y721" s="64">
        <f t="shared" ref="Y721:Y784" si="104">AA721*5221.8/I721</f>
        <v>3799.7602345304153</v>
      </c>
      <c r="AA721" s="64">
        <f t="shared" ref="AA721:AA784" si="105">VLOOKUP(C721,AC:AE,2,FALSE)</f>
        <v>695</v>
      </c>
      <c r="AH721" s="64" t="e">
        <f t="shared" ref="AH721:AH784" si="106">VLOOKUP(C721,AJ:AK,2,FALSE)</f>
        <v>#N/A</v>
      </c>
      <c r="AS721" s="64" t="e">
        <f t="shared" ref="AS721:AS784" si="107">VLOOKUP(C721,AU:AV,2,FALSE)</f>
        <v>#N/A</v>
      </c>
    </row>
    <row r="722" spans="1:45" s="64" customFormat="1" ht="36" customHeight="1" x14ac:dyDescent="0.9">
      <c r="A722" s="64">
        <v>1</v>
      </c>
      <c r="B722" s="92">
        <f>SUBTOTAL(103,$A$548:A722)</f>
        <v>173</v>
      </c>
      <c r="C722" s="91" t="s">
        <v>207</v>
      </c>
      <c r="D722" s="126">
        <v>1987</v>
      </c>
      <c r="E722" s="126"/>
      <c r="F722" s="145" t="s">
        <v>273</v>
      </c>
      <c r="G722" s="126">
        <v>2</v>
      </c>
      <c r="H722" s="126">
        <v>3</v>
      </c>
      <c r="I722" s="117">
        <v>946.6</v>
      </c>
      <c r="J722" s="117">
        <v>861.5</v>
      </c>
      <c r="K722" s="117">
        <v>797.6</v>
      </c>
      <c r="L722" s="127">
        <v>47</v>
      </c>
      <c r="M722" s="126" t="s">
        <v>271</v>
      </c>
      <c r="N722" s="126" t="s">
        <v>275</v>
      </c>
      <c r="O722" s="124" t="s">
        <v>335</v>
      </c>
      <c r="P722" s="118">
        <v>3519757</v>
      </c>
      <c r="Q722" s="118">
        <v>0</v>
      </c>
      <c r="R722" s="118">
        <v>0</v>
      </c>
      <c r="S722" s="118">
        <f t="shared" si="101"/>
        <v>3519757</v>
      </c>
      <c r="T722" s="118">
        <f t="shared" si="91"/>
        <v>3718.3150221846608</v>
      </c>
      <c r="U722" s="118">
        <f>T722</f>
        <v>3718.3150221846608</v>
      </c>
      <c r="V722" s="183">
        <f t="shared" si="103"/>
        <v>0</v>
      </c>
      <c r="W722" s="183"/>
      <c r="X722" s="183"/>
      <c r="Y722" s="64">
        <f t="shared" si="104"/>
        <v>3673.9053454468626</v>
      </c>
      <c r="AA722" s="64">
        <f t="shared" si="105"/>
        <v>666</v>
      </c>
      <c r="AH722" s="64" t="e">
        <f t="shared" si="106"/>
        <v>#N/A</v>
      </c>
      <c r="AS722" s="64" t="e">
        <f t="shared" si="107"/>
        <v>#N/A</v>
      </c>
    </row>
    <row r="723" spans="1:45" s="64" customFormat="1" ht="36" customHeight="1" x14ac:dyDescent="0.9">
      <c r="A723" s="64">
        <v>1</v>
      </c>
      <c r="B723" s="92">
        <f>SUBTOTAL(103,$A$548:A723)</f>
        <v>174</v>
      </c>
      <c r="C723" s="91" t="s">
        <v>428</v>
      </c>
      <c r="D723" s="126">
        <v>1987</v>
      </c>
      <c r="E723" s="126"/>
      <c r="F723" s="145" t="s">
        <v>273</v>
      </c>
      <c r="G723" s="126">
        <v>5</v>
      </c>
      <c r="H723" s="126">
        <v>4</v>
      </c>
      <c r="I723" s="117">
        <v>2928.1</v>
      </c>
      <c r="J723" s="117">
        <v>2613.6</v>
      </c>
      <c r="K723" s="117">
        <v>2388.9</v>
      </c>
      <c r="L723" s="127">
        <v>106</v>
      </c>
      <c r="M723" s="126" t="s">
        <v>271</v>
      </c>
      <c r="N723" s="126" t="s">
        <v>275</v>
      </c>
      <c r="O723" s="124" t="s">
        <v>334</v>
      </c>
      <c r="P723" s="118">
        <v>4125000</v>
      </c>
      <c r="Q723" s="118">
        <v>0</v>
      </c>
      <c r="R723" s="118">
        <v>0</v>
      </c>
      <c r="S723" s="118">
        <f t="shared" si="101"/>
        <v>4125000</v>
      </c>
      <c r="T723" s="118">
        <f t="shared" si="91"/>
        <v>1408.7633619070386</v>
      </c>
      <c r="U723" s="118">
        <f t="shared" si="102"/>
        <v>1471.256104641235</v>
      </c>
      <c r="V723" s="183">
        <f t="shared" si="103"/>
        <v>62.492742734196327</v>
      </c>
      <c r="W723" s="183"/>
      <c r="X723" s="183"/>
      <c r="Y723" s="64">
        <f t="shared" si="104"/>
        <v>1471.256104641235</v>
      </c>
      <c r="AA723" s="64">
        <f t="shared" si="105"/>
        <v>825</v>
      </c>
      <c r="AH723" s="64" t="e">
        <f t="shared" si="106"/>
        <v>#N/A</v>
      </c>
      <c r="AS723" s="64" t="e">
        <f t="shared" si="107"/>
        <v>#N/A</v>
      </c>
    </row>
    <row r="724" spans="1:45" s="64" customFormat="1" ht="36" customHeight="1" x14ac:dyDescent="0.9">
      <c r="A724" s="64">
        <v>1</v>
      </c>
      <c r="B724" s="92">
        <f>SUBTOTAL(103,$A$548:A724)</f>
        <v>175</v>
      </c>
      <c r="C724" s="91" t="s">
        <v>429</v>
      </c>
      <c r="D724" s="126">
        <v>1846</v>
      </c>
      <c r="E724" s="126"/>
      <c r="F724" s="145" t="s">
        <v>273</v>
      </c>
      <c r="G724" s="126">
        <v>2</v>
      </c>
      <c r="H724" s="126">
        <v>1</v>
      </c>
      <c r="I724" s="117">
        <v>378.89</v>
      </c>
      <c r="J724" s="117">
        <v>325.39999999999998</v>
      </c>
      <c r="K724" s="117">
        <v>325.39999999999998</v>
      </c>
      <c r="L724" s="127">
        <v>17</v>
      </c>
      <c r="M724" s="126" t="s">
        <v>271</v>
      </c>
      <c r="N724" s="126" t="s">
        <v>272</v>
      </c>
      <c r="O724" s="124" t="s">
        <v>274</v>
      </c>
      <c r="P724" s="118">
        <v>2000000</v>
      </c>
      <c r="Q724" s="118">
        <v>0</v>
      </c>
      <c r="R724" s="118">
        <v>0</v>
      </c>
      <c r="S724" s="118">
        <f t="shared" si="101"/>
        <v>2000000</v>
      </c>
      <c r="T724" s="118">
        <f t="shared" si="91"/>
        <v>5278.576895668928</v>
      </c>
      <c r="U724" s="118">
        <f>T724</f>
        <v>5278.576895668928</v>
      </c>
      <c r="V724" s="183">
        <f t="shared" si="103"/>
        <v>0</v>
      </c>
      <c r="W724" s="183"/>
      <c r="X724" s="183"/>
      <c r="Y724" s="64">
        <f t="shared" si="104"/>
        <v>5030.3702921692311</v>
      </c>
      <c r="AA724" s="64">
        <f t="shared" si="105"/>
        <v>365</v>
      </c>
      <c r="AH724" s="64" t="e">
        <f t="shared" si="106"/>
        <v>#N/A</v>
      </c>
      <c r="AS724" s="64" t="e">
        <f t="shared" si="107"/>
        <v>#N/A</v>
      </c>
    </row>
    <row r="725" spans="1:45" s="64" customFormat="1" ht="36" customHeight="1" x14ac:dyDescent="0.9">
      <c r="A725" s="64">
        <v>1</v>
      </c>
      <c r="B725" s="92">
        <f>SUBTOTAL(103,$A$548:A725)</f>
        <v>176</v>
      </c>
      <c r="C725" s="91" t="s">
        <v>430</v>
      </c>
      <c r="D725" s="126">
        <v>1964</v>
      </c>
      <c r="E725" s="126"/>
      <c r="F725" s="145" t="s">
        <v>273</v>
      </c>
      <c r="G725" s="126">
        <v>3</v>
      </c>
      <c r="H725" s="126">
        <v>2</v>
      </c>
      <c r="I725" s="117">
        <v>1192.79</v>
      </c>
      <c r="J725" s="117">
        <v>1161.32</v>
      </c>
      <c r="K725" s="117">
        <v>1130.3599999999999</v>
      </c>
      <c r="L725" s="127">
        <v>54</v>
      </c>
      <c r="M725" s="126" t="s">
        <v>271</v>
      </c>
      <c r="N725" s="126" t="s">
        <v>275</v>
      </c>
      <c r="O725" s="124" t="s">
        <v>330</v>
      </c>
      <c r="P725" s="118">
        <v>4900000</v>
      </c>
      <c r="Q725" s="118">
        <v>0</v>
      </c>
      <c r="R725" s="118">
        <v>0</v>
      </c>
      <c r="S725" s="118">
        <f t="shared" si="101"/>
        <v>4900000</v>
      </c>
      <c r="T725" s="118">
        <f t="shared" si="91"/>
        <v>4108.0156607617437</v>
      </c>
      <c r="U725" s="118">
        <f>AG725</f>
        <v>5048.6552199221569</v>
      </c>
      <c r="V725" s="183">
        <f t="shared" si="103"/>
        <v>940.63955916041323</v>
      </c>
      <c r="W725" s="183"/>
      <c r="X725" s="183"/>
      <c r="Y725" s="64" t="e">
        <f t="shared" si="104"/>
        <v>#N/A</v>
      </c>
      <c r="AA725" s="64" t="e">
        <f t="shared" si="105"/>
        <v>#N/A</v>
      </c>
      <c r="AG725" s="64">
        <f>AH725*6191.24/J725</f>
        <v>5048.6552199221569</v>
      </c>
      <c r="AH725" s="64">
        <f t="shared" si="106"/>
        <v>947</v>
      </c>
      <c r="AS725" s="64" t="e">
        <f t="shared" si="107"/>
        <v>#N/A</v>
      </c>
    </row>
    <row r="726" spans="1:45" s="64" customFormat="1" ht="36" customHeight="1" x14ac:dyDescent="0.9">
      <c r="A726" s="64">
        <v>1</v>
      </c>
      <c r="B726" s="92">
        <f>SUBTOTAL(103,$A$548:A726)</f>
        <v>177</v>
      </c>
      <c r="C726" s="91" t="s">
        <v>431</v>
      </c>
      <c r="D726" s="126">
        <v>1941</v>
      </c>
      <c r="E726" s="126"/>
      <c r="F726" s="145" t="s">
        <v>273</v>
      </c>
      <c r="G726" s="126">
        <v>2</v>
      </c>
      <c r="H726" s="126">
        <v>2</v>
      </c>
      <c r="I726" s="117">
        <v>858.1</v>
      </c>
      <c r="J726" s="117">
        <v>655.20000000000005</v>
      </c>
      <c r="K726" s="117">
        <v>655.20000000000005</v>
      </c>
      <c r="L726" s="127">
        <v>20</v>
      </c>
      <c r="M726" s="126" t="s">
        <v>271</v>
      </c>
      <c r="N726" s="126" t="s">
        <v>275</v>
      </c>
      <c r="O726" s="124" t="s">
        <v>333</v>
      </c>
      <c r="P726" s="118">
        <v>3000000</v>
      </c>
      <c r="Q726" s="118">
        <v>0</v>
      </c>
      <c r="R726" s="118">
        <v>0</v>
      </c>
      <c r="S726" s="118">
        <f t="shared" si="101"/>
        <v>3000000</v>
      </c>
      <c r="T726" s="118">
        <f t="shared" ref="T726:T792" si="108">P726/I726</f>
        <v>3496.0960261041837</v>
      </c>
      <c r="U726" s="118">
        <f>Y726</f>
        <v>3651.1828458221653</v>
      </c>
      <c r="V726" s="183">
        <f t="shared" si="103"/>
        <v>155.0868197179816</v>
      </c>
      <c r="W726" s="183"/>
      <c r="X726" s="183"/>
      <c r="Y726" s="64">
        <f t="shared" si="104"/>
        <v>3651.1828458221653</v>
      </c>
      <c r="AA726" s="64">
        <f t="shared" si="105"/>
        <v>600</v>
      </c>
      <c r="AH726" s="64" t="e">
        <f t="shared" si="106"/>
        <v>#N/A</v>
      </c>
      <c r="AS726" s="64" t="e">
        <f t="shared" si="107"/>
        <v>#N/A</v>
      </c>
    </row>
    <row r="727" spans="1:45" s="64" customFormat="1" ht="36" customHeight="1" x14ac:dyDescent="0.9">
      <c r="A727" s="64">
        <v>1</v>
      </c>
      <c r="B727" s="92">
        <f>SUBTOTAL(103,$A$548:A727)</f>
        <v>178</v>
      </c>
      <c r="C727" s="91" t="s">
        <v>432</v>
      </c>
      <c r="D727" s="126">
        <v>1962</v>
      </c>
      <c r="E727" s="126"/>
      <c r="F727" s="145" t="s">
        <v>332</v>
      </c>
      <c r="G727" s="126">
        <v>2</v>
      </c>
      <c r="H727" s="126">
        <v>2</v>
      </c>
      <c r="I727" s="117">
        <v>590.99</v>
      </c>
      <c r="J727" s="117">
        <v>407.09</v>
      </c>
      <c r="K727" s="117">
        <v>407.09</v>
      </c>
      <c r="L727" s="127">
        <v>22</v>
      </c>
      <c r="M727" s="126" t="s">
        <v>271</v>
      </c>
      <c r="N727" s="126" t="s">
        <v>275</v>
      </c>
      <c r="O727" s="124" t="s">
        <v>336</v>
      </c>
      <c r="P727" s="118">
        <v>2310000</v>
      </c>
      <c r="Q727" s="118">
        <v>0</v>
      </c>
      <c r="R727" s="118">
        <v>0</v>
      </c>
      <c r="S727" s="118">
        <f t="shared" si="101"/>
        <v>2310000</v>
      </c>
      <c r="T727" s="118">
        <f t="shared" si="108"/>
        <v>3908.6955786053909</v>
      </c>
      <c r="U727" s="118">
        <f>Y727</f>
        <v>4082.085314472326</v>
      </c>
      <c r="V727" s="183">
        <f t="shared" si="103"/>
        <v>173.3897358669351</v>
      </c>
      <c r="W727" s="183"/>
      <c r="X727" s="183"/>
      <c r="Y727" s="64">
        <f t="shared" si="104"/>
        <v>4082.085314472326</v>
      </c>
      <c r="AA727" s="64">
        <f t="shared" si="105"/>
        <v>462</v>
      </c>
      <c r="AH727" s="64" t="e">
        <f t="shared" si="106"/>
        <v>#N/A</v>
      </c>
      <c r="AS727" s="64" t="e">
        <f t="shared" si="107"/>
        <v>#N/A</v>
      </c>
    </row>
    <row r="728" spans="1:45" s="64" customFormat="1" ht="36" customHeight="1" x14ac:dyDescent="0.9">
      <c r="A728" s="64">
        <v>1</v>
      </c>
      <c r="B728" s="92">
        <f>SUBTOTAL(103,$A$548:A728)</f>
        <v>179</v>
      </c>
      <c r="C728" s="91" t="s">
        <v>1675</v>
      </c>
      <c r="D728" s="126">
        <v>1960</v>
      </c>
      <c r="E728" s="126"/>
      <c r="F728" s="145" t="s">
        <v>1374</v>
      </c>
      <c r="G728" s="126">
        <v>4</v>
      </c>
      <c r="H728" s="126">
        <v>4</v>
      </c>
      <c r="I728" s="117">
        <v>1920.6</v>
      </c>
      <c r="J728" s="117">
        <v>1243.9000000000001</v>
      </c>
      <c r="K728" s="117">
        <f>J728-257.8</f>
        <v>986.10000000000014</v>
      </c>
      <c r="L728" s="127">
        <v>87</v>
      </c>
      <c r="M728" s="126" t="s">
        <v>271</v>
      </c>
      <c r="N728" s="126" t="s">
        <v>275</v>
      </c>
      <c r="O728" s="124" t="s">
        <v>1015</v>
      </c>
      <c r="P728" s="118">
        <v>5101600</v>
      </c>
      <c r="Q728" s="118">
        <v>0</v>
      </c>
      <c r="R728" s="118">
        <v>0</v>
      </c>
      <c r="S728" s="118">
        <f>P728-Q728-R728</f>
        <v>5101600</v>
      </c>
      <c r="T728" s="118">
        <f>P728/I885</f>
        <v>6204.8163463877399</v>
      </c>
      <c r="U728" s="118">
        <f>T728</f>
        <v>6204.8163463877399</v>
      </c>
      <c r="V728" s="183">
        <f t="shared" si="103"/>
        <v>0</v>
      </c>
      <c r="W728" s="183"/>
      <c r="X728" s="183"/>
      <c r="Y728" s="64">
        <f t="shared" si="104"/>
        <v>2476.8612933458294</v>
      </c>
      <c r="AA728" s="64">
        <f t="shared" si="105"/>
        <v>911</v>
      </c>
      <c r="AH728" s="64" t="e">
        <f t="shared" si="106"/>
        <v>#N/A</v>
      </c>
      <c r="AS728" s="64" t="e">
        <f t="shared" si="107"/>
        <v>#N/A</v>
      </c>
    </row>
    <row r="729" spans="1:45" s="64" customFormat="1" ht="36" customHeight="1" x14ac:dyDescent="0.9">
      <c r="A729" s="64">
        <v>1</v>
      </c>
      <c r="B729" s="92">
        <f>SUBTOTAL(103,$A$548:A729)</f>
        <v>180</v>
      </c>
      <c r="C729" s="91" t="s">
        <v>1706</v>
      </c>
      <c r="D729" s="126">
        <v>1959</v>
      </c>
      <c r="E729" s="126"/>
      <c r="F729" s="145" t="s">
        <v>1374</v>
      </c>
      <c r="G729" s="126">
        <v>3</v>
      </c>
      <c r="H729" s="126">
        <v>2</v>
      </c>
      <c r="I729" s="117">
        <v>1263</v>
      </c>
      <c r="J729" s="117">
        <v>1052.4000000000001</v>
      </c>
      <c r="K729" s="117">
        <f>J729-281.3</f>
        <v>771.10000000000014</v>
      </c>
      <c r="L729" s="127">
        <v>92</v>
      </c>
      <c r="M729" s="126" t="s">
        <v>271</v>
      </c>
      <c r="N729" s="126" t="s">
        <v>272</v>
      </c>
      <c r="O729" s="124" t="s">
        <v>274</v>
      </c>
      <c r="P729" s="118">
        <v>4068108.64</v>
      </c>
      <c r="Q729" s="118">
        <v>0</v>
      </c>
      <c r="R729" s="118">
        <v>0</v>
      </c>
      <c r="S729" s="118">
        <f>P729-Q729-R729</f>
        <v>4068108.64</v>
      </c>
      <c r="T729" s="118">
        <f>P729/I886</f>
        <v>4947.8334225249328</v>
      </c>
      <c r="U729" s="118">
        <f>T729</f>
        <v>4947.8334225249328</v>
      </c>
      <c r="V729" s="183">
        <f t="shared" si="103"/>
        <v>0</v>
      </c>
      <c r="W729" s="183"/>
      <c r="X729" s="183"/>
      <c r="Y729" s="64">
        <f t="shared" si="104"/>
        <v>3497.7377672209022</v>
      </c>
      <c r="AA729" s="64">
        <f t="shared" si="105"/>
        <v>846</v>
      </c>
      <c r="AH729" s="64" t="e">
        <f t="shared" si="106"/>
        <v>#N/A</v>
      </c>
      <c r="AS729" s="64" t="e">
        <f t="shared" si="107"/>
        <v>#N/A</v>
      </c>
    </row>
    <row r="730" spans="1:45" s="64" customFormat="1" ht="36" customHeight="1" x14ac:dyDescent="0.9">
      <c r="A730" s="64">
        <v>1</v>
      </c>
      <c r="B730" s="92">
        <f>SUBTOTAL(103,$A$548:A730)</f>
        <v>181</v>
      </c>
      <c r="C730" s="91" t="s">
        <v>1707</v>
      </c>
      <c r="D730" s="126">
        <v>1942</v>
      </c>
      <c r="E730" s="126"/>
      <c r="F730" s="145" t="s">
        <v>1374</v>
      </c>
      <c r="G730" s="126">
        <v>2</v>
      </c>
      <c r="H730" s="126">
        <v>2</v>
      </c>
      <c r="I730" s="117">
        <v>1139.8399999999999</v>
      </c>
      <c r="J730" s="117">
        <v>660</v>
      </c>
      <c r="K730" s="117">
        <f>J730-52</f>
        <v>608</v>
      </c>
      <c r="L730" s="127">
        <v>25</v>
      </c>
      <c r="M730" s="126" t="s">
        <v>271</v>
      </c>
      <c r="N730" s="126" t="s">
        <v>272</v>
      </c>
      <c r="O730" s="124" t="s">
        <v>274</v>
      </c>
      <c r="P730" s="118">
        <v>2885184</v>
      </c>
      <c r="Q730" s="118">
        <v>0</v>
      </c>
      <c r="R730" s="118">
        <v>0</v>
      </c>
      <c r="S730" s="118">
        <f>P730-Q730-R730</f>
        <v>2885184</v>
      </c>
      <c r="T730" s="118">
        <f>P730/I887</f>
        <v>486.99280444392684</v>
      </c>
      <c r="U730" s="118">
        <f>Y730</f>
        <v>2748.7015721504777</v>
      </c>
      <c r="V730" s="183">
        <f t="shared" si="103"/>
        <v>2261.708767706551</v>
      </c>
      <c r="W730" s="183"/>
      <c r="X730" s="183"/>
      <c r="Y730" s="64">
        <f t="shared" si="104"/>
        <v>2748.7015721504777</v>
      </c>
      <c r="AA730" s="64">
        <f t="shared" si="105"/>
        <v>600</v>
      </c>
      <c r="AH730" s="64" t="e">
        <f t="shared" si="106"/>
        <v>#N/A</v>
      </c>
      <c r="AS730" s="64" t="e">
        <f t="shared" si="107"/>
        <v>#N/A</v>
      </c>
    </row>
    <row r="731" spans="1:45" s="64" customFormat="1" ht="36" customHeight="1" x14ac:dyDescent="0.9">
      <c r="A731" s="64">
        <v>1</v>
      </c>
      <c r="B731" s="92">
        <f>SUBTOTAL(103,$A$548:A731)</f>
        <v>182</v>
      </c>
      <c r="C731" s="91" t="s">
        <v>433</v>
      </c>
      <c r="D731" s="126">
        <v>1959</v>
      </c>
      <c r="E731" s="126"/>
      <c r="F731" s="145" t="s">
        <v>273</v>
      </c>
      <c r="G731" s="126">
        <v>3</v>
      </c>
      <c r="H731" s="126">
        <v>4</v>
      </c>
      <c r="I731" s="117">
        <v>2095.6</v>
      </c>
      <c r="J731" s="117">
        <v>1915.7</v>
      </c>
      <c r="K731" s="117">
        <v>1915.7</v>
      </c>
      <c r="L731" s="127">
        <v>69</v>
      </c>
      <c r="M731" s="126" t="s">
        <v>271</v>
      </c>
      <c r="N731" s="126" t="s">
        <v>275</v>
      </c>
      <c r="O731" s="124" t="s">
        <v>333</v>
      </c>
      <c r="P731" s="118">
        <v>150000</v>
      </c>
      <c r="Q731" s="118">
        <v>0</v>
      </c>
      <c r="R731" s="118">
        <v>0</v>
      </c>
      <c r="S731" s="118">
        <f t="shared" si="101"/>
        <v>150000</v>
      </c>
      <c r="T731" s="118">
        <f t="shared" si="108"/>
        <v>71.578545523954958</v>
      </c>
      <c r="U731" s="118">
        <f t="shared" ref="U731:U757" si="109">T731</f>
        <v>71.578545523954958</v>
      </c>
      <c r="V731" s="183">
        <f t="shared" si="103"/>
        <v>0</v>
      </c>
      <c r="W731" s="183"/>
      <c r="X731" s="183"/>
      <c r="Y731" s="64">
        <f t="shared" si="104"/>
        <v>2317.3668639053253</v>
      </c>
      <c r="AA731" s="64">
        <f t="shared" si="105"/>
        <v>930</v>
      </c>
      <c r="AH731" s="64" t="e">
        <f t="shared" si="106"/>
        <v>#N/A</v>
      </c>
      <c r="AS731" s="64" t="e">
        <f t="shared" si="107"/>
        <v>#N/A</v>
      </c>
    </row>
    <row r="732" spans="1:45" s="64" customFormat="1" ht="36" customHeight="1" x14ac:dyDescent="0.9">
      <c r="A732" s="64">
        <v>1</v>
      </c>
      <c r="B732" s="92">
        <f>SUBTOTAL(103,$A$548:A732)</f>
        <v>183</v>
      </c>
      <c r="C732" s="91" t="s">
        <v>434</v>
      </c>
      <c r="D732" s="126">
        <v>1989</v>
      </c>
      <c r="E732" s="126"/>
      <c r="F732" s="145" t="s">
        <v>273</v>
      </c>
      <c r="G732" s="126">
        <v>5</v>
      </c>
      <c r="H732" s="126">
        <v>3</v>
      </c>
      <c r="I732" s="117">
        <v>2042.1</v>
      </c>
      <c r="J732" s="117">
        <v>1708.9</v>
      </c>
      <c r="K732" s="117">
        <v>1675.9</v>
      </c>
      <c r="L732" s="127">
        <v>86</v>
      </c>
      <c r="M732" s="126" t="s">
        <v>271</v>
      </c>
      <c r="N732" s="126" t="s">
        <v>275</v>
      </c>
      <c r="O732" s="124" t="s">
        <v>1018</v>
      </c>
      <c r="P732" s="118">
        <v>150000</v>
      </c>
      <c r="Q732" s="118">
        <v>0</v>
      </c>
      <c r="R732" s="118">
        <v>0</v>
      </c>
      <c r="S732" s="118">
        <f t="shared" si="101"/>
        <v>150000</v>
      </c>
      <c r="T732" s="118">
        <f t="shared" si="108"/>
        <v>73.453797561333928</v>
      </c>
      <c r="U732" s="118">
        <f t="shared" si="109"/>
        <v>73.453797561333928</v>
      </c>
      <c r="V732" s="183">
        <f t="shared" si="103"/>
        <v>0</v>
      </c>
      <c r="W732" s="183"/>
      <c r="X732" s="183"/>
      <c r="Y732" s="64">
        <f t="shared" si="104"/>
        <v>1518.9017188188632</v>
      </c>
      <c r="AA732" s="64">
        <f t="shared" si="105"/>
        <v>594</v>
      </c>
      <c r="AH732" s="64" t="e">
        <f t="shared" si="106"/>
        <v>#N/A</v>
      </c>
      <c r="AS732" s="64" t="e">
        <f t="shared" si="107"/>
        <v>#N/A</v>
      </c>
    </row>
    <row r="733" spans="1:45" s="64" customFormat="1" ht="36" customHeight="1" x14ac:dyDescent="0.9">
      <c r="A733" s="64">
        <v>1</v>
      </c>
      <c r="B733" s="92">
        <f>SUBTOTAL(103,$A$548:A733)</f>
        <v>184</v>
      </c>
      <c r="C733" s="91" t="s">
        <v>435</v>
      </c>
      <c r="D733" s="126">
        <v>1972</v>
      </c>
      <c r="E733" s="126"/>
      <c r="F733" s="145" t="s">
        <v>273</v>
      </c>
      <c r="G733" s="126">
        <v>5</v>
      </c>
      <c r="H733" s="126">
        <v>4</v>
      </c>
      <c r="I733" s="117">
        <v>3577.12</v>
      </c>
      <c r="J733" s="117">
        <v>3193.8</v>
      </c>
      <c r="K733" s="117">
        <v>2940.98</v>
      </c>
      <c r="L733" s="127">
        <v>152</v>
      </c>
      <c r="M733" s="126" t="s">
        <v>271</v>
      </c>
      <c r="N733" s="126" t="s">
        <v>275</v>
      </c>
      <c r="O733" s="124" t="s">
        <v>336</v>
      </c>
      <c r="P733" s="118">
        <v>180000</v>
      </c>
      <c r="Q733" s="118">
        <v>0</v>
      </c>
      <c r="R733" s="118">
        <v>0</v>
      </c>
      <c r="S733" s="118">
        <f t="shared" si="101"/>
        <v>180000</v>
      </c>
      <c r="T733" s="118">
        <f t="shared" si="108"/>
        <v>50.319810350225879</v>
      </c>
      <c r="U733" s="118">
        <f t="shared" si="109"/>
        <v>50.319810350225879</v>
      </c>
      <c r="V733" s="183">
        <f t="shared" si="103"/>
        <v>0</v>
      </c>
      <c r="W733" s="183"/>
      <c r="X733" s="183"/>
      <c r="Y733" s="64">
        <f t="shared" si="104"/>
        <v>1632.0314666547392</v>
      </c>
      <c r="AA733" s="64">
        <f t="shared" si="105"/>
        <v>1118</v>
      </c>
      <c r="AH733" s="64" t="e">
        <f t="shared" si="106"/>
        <v>#N/A</v>
      </c>
      <c r="AS733" s="64" t="e">
        <f t="shared" si="107"/>
        <v>#N/A</v>
      </c>
    </row>
    <row r="734" spans="1:45" s="64" customFormat="1" ht="36" customHeight="1" x14ac:dyDescent="0.9">
      <c r="A734" s="64">
        <v>1</v>
      </c>
      <c r="B734" s="92">
        <f>SUBTOTAL(103,$A$548:A734)</f>
        <v>185</v>
      </c>
      <c r="C734" s="91" t="s">
        <v>436</v>
      </c>
      <c r="D734" s="126">
        <v>1955</v>
      </c>
      <c r="E734" s="126"/>
      <c r="F734" s="145" t="s">
        <v>273</v>
      </c>
      <c r="G734" s="126">
        <v>2</v>
      </c>
      <c r="H734" s="126">
        <v>3</v>
      </c>
      <c r="I734" s="117">
        <v>1501.5</v>
      </c>
      <c r="J734" s="117">
        <v>1386.8</v>
      </c>
      <c r="K734" s="117">
        <v>1250.54</v>
      </c>
      <c r="L734" s="127">
        <v>57</v>
      </c>
      <c r="M734" s="126" t="s">
        <v>271</v>
      </c>
      <c r="N734" s="126" t="s">
        <v>275</v>
      </c>
      <c r="O734" s="124" t="s">
        <v>336</v>
      </c>
      <c r="P734" s="118">
        <v>200000</v>
      </c>
      <c r="Q734" s="118">
        <v>0</v>
      </c>
      <c r="R734" s="118">
        <v>0</v>
      </c>
      <c r="S734" s="118">
        <f t="shared" si="101"/>
        <v>200000</v>
      </c>
      <c r="T734" s="118">
        <f t="shared" si="108"/>
        <v>133.20013320013319</v>
      </c>
      <c r="U734" s="118">
        <f t="shared" si="109"/>
        <v>133.20013320013319</v>
      </c>
      <c r="V734" s="183">
        <f t="shared" si="103"/>
        <v>0</v>
      </c>
      <c r="W734" s="183"/>
      <c r="X734" s="183"/>
      <c r="Y734" s="64" t="e">
        <f t="shared" si="104"/>
        <v>#N/A</v>
      </c>
      <c r="AA734" s="64" t="e">
        <f t="shared" si="105"/>
        <v>#N/A</v>
      </c>
      <c r="AG734" s="64">
        <f>AH734*6191.24/J734</f>
        <v>4687.6276319584658</v>
      </c>
      <c r="AH734" s="64">
        <f t="shared" si="106"/>
        <v>1050</v>
      </c>
      <c r="AS734" s="64" t="e">
        <f t="shared" si="107"/>
        <v>#N/A</v>
      </c>
    </row>
    <row r="735" spans="1:45" s="64" customFormat="1" ht="36" customHeight="1" x14ac:dyDescent="0.9">
      <c r="A735" s="64">
        <v>1</v>
      </c>
      <c r="B735" s="92">
        <f>SUBTOTAL(103,$A$548:A735)</f>
        <v>186</v>
      </c>
      <c r="C735" s="91" t="s">
        <v>437</v>
      </c>
      <c r="D735" s="126">
        <v>1961</v>
      </c>
      <c r="E735" s="126"/>
      <c r="F735" s="145" t="s">
        <v>273</v>
      </c>
      <c r="G735" s="126">
        <v>2</v>
      </c>
      <c r="H735" s="126">
        <v>1</v>
      </c>
      <c r="I735" s="117">
        <v>646.49</v>
      </c>
      <c r="J735" s="117">
        <v>588.49</v>
      </c>
      <c r="K735" s="117">
        <v>588.49</v>
      </c>
      <c r="L735" s="127">
        <v>29</v>
      </c>
      <c r="M735" s="126" t="s">
        <v>271</v>
      </c>
      <c r="N735" s="126" t="s">
        <v>272</v>
      </c>
      <c r="O735" s="124" t="s">
        <v>274</v>
      </c>
      <c r="P735" s="118">
        <v>150000</v>
      </c>
      <c r="Q735" s="118">
        <v>0</v>
      </c>
      <c r="R735" s="118">
        <v>0</v>
      </c>
      <c r="S735" s="118">
        <f t="shared" si="101"/>
        <v>150000</v>
      </c>
      <c r="T735" s="118">
        <f t="shared" si="108"/>
        <v>232.02215038128972</v>
      </c>
      <c r="U735" s="118">
        <f t="shared" si="109"/>
        <v>232.02215038128972</v>
      </c>
      <c r="V735" s="183">
        <f t="shared" si="103"/>
        <v>0</v>
      </c>
      <c r="W735" s="183"/>
      <c r="X735" s="183"/>
      <c r="Y735" s="64">
        <f t="shared" si="104"/>
        <v>5928.6318427199185</v>
      </c>
      <c r="AA735" s="64">
        <f t="shared" si="105"/>
        <v>734</v>
      </c>
      <c r="AH735" s="64" t="e">
        <f t="shared" si="106"/>
        <v>#N/A</v>
      </c>
      <c r="AS735" s="64" t="e">
        <f t="shared" si="107"/>
        <v>#N/A</v>
      </c>
    </row>
    <row r="736" spans="1:45" s="64" customFormat="1" ht="36" customHeight="1" x14ac:dyDescent="0.9">
      <c r="A736" s="64">
        <v>1</v>
      </c>
      <c r="B736" s="92">
        <f>SUBTOTAL(103,$A$548:A736)</f>
        <v>187</v>
      </c>
      <c r="C736" s="91" t="s">
        <v>438</v>
      </c>
      <c r="D736" s="126">
        <v>1969</v>
      </c>
      <c r="E736" s="126"/>
      <c r="F736" s="145" t="s">
        <v>273</v>
      </c>
      <c r="G736" s="126">
        <v>5</v>
      </c>
      <c r="H736" s="126">
        <v>6</v>
      </c>
      <c r="I736" s="117">
        <v>4890.1099999999997</v>
      </c>
      <c r="J736" s="117">
        <v>4432.68</v>
      </c>
      <c r="K736" s="117">
        <v>4177.2300000000005</v>
      </c>
      <c r="L736" s="127">
        <v>212</v>
      </c>
      <c r="M736" s="126" t="s">
        <v>271</v>
      </c>
      <c r="N736" s="126" t="s">
        <v>275</v>
      </c>
      <c r="O736" s="124" t="s">
        <v>329</v>
      </c>
      <c r="P736" s="118">
        <v>180000</v>
      </c>
      <c r="Q736" s="118">
        <v>0</v>
      </c>
      <c r="R736" s="118">
        <v>0</v>
      </c>
      <c r="S736" s="118">
        <f t="shared" si="101"/>
        <v>180000</v>
      </c>
      <c r="T736" s="118">
        <f t="shared" si="108"/>
        <v>36.808987936876676</v>
      </c>
      <c r="U736" s="118">
        <f t="shared" si="109"/>
        <v>36.808987936876676</v>
      </c>
      <c r="V736" s="183">
        <f t="shared" si="103"/>
        <v>0</v>
      </c>
      <c r="W736" s="183"/>
      <c r="X736" s="183"/>
      <c r="Y736" s="64">
        <f t="shared" si="104"/>
        <v>1830.2584604436304</v>
      </c>
      <c r="AA736" s="64">
        <f t="shared" si="105"/>
        <v>1714</v>
      </c>
      <c r="AH736" s="64" t="e">
        <f t="shared" si="106"/>
        <v>#N/A</v>
      </c>
      <c r="AS736" s="64" t="e">
        <f t="shared" si="107"/>
        <v>#N/A</v>
      </c>
    </row>
    <row r="737" spans="1:45" s="64" customFormat="1" ht="36" customHeight="1" x14ac:dyDescent="0.9">
      <c r="A737" s="64">
        <v>1</v>
      </c>
      <c r="B737" s="92">
        <f>SUBTOTAL(103,$A$548:A737)</f>
        <v>188</v>
      </c>
      <c r="C737" s="91" t="s">
        <v>439</v>
      </c>
      <c r="D737" s="126">
        <v>1961</v>
      </c>
      <c r="E737" s="126"/>
      <c r="F737" s="145" t="s">
        <v>273</v>
      </c>
      <c r="G737" s="126">
        <v>2</v>
      </c>
      <c r="H737" s="126">
        <v>2</v>
      </c>
      <c r="I737" s="117">
        <v>824.68999999999994</v>
      </c>
      <c r="J737" s="117">
        <v>778.39</v>
      </c>
      <c r="K737" s="117">
        <v>728.73</v>
      </c>
      <c r="L737" s="127">
        <v>49</v>
      </c>
      <c r="M737" s="126" t="s">
        <v>271</v>
      </c>
      <c r="N737" s="126" t="s">
        <v>275</v>
      </c>
      <c r="O737" s="124" t="s">
        <v>333</v>
      </c>
      <c r="P737" s="118">
        <v>150000</v>
      </c>
      <c r="Q737" s="118">
        <v>0</v>
      </c>
      <c r="R737" s="118">
        <v>0</v>
      </c>
      <c r="S737" s="118">
        <f t="shared" si="101"/>
        <v>150000</v>
      </c>
      <c r="T737" s="118">
        <f t="shared" si="108"/>
        <v>181.88652705865235</v>
      </c>
      <c r="U737" s="118">
        <f t="shared" si="109"/>
        <v>181.88652705865235</v>
      </c>
      <c r="V737" s="183">
        <f t="shared" si="103"/>
        <v>0</v>
      </c>
      <c r="W737" s="183"/>
      <c r="X737" s="183"/>
      <c r="Y737" s="64">
        <f t="shared" si="104"/>
        <v>3799.1002679794833</v>
      </c>
      <c r="AA737" s="64">
        <f t="shared" si="105"/>
        <v>600</v>
      </c>
      <c r="AH737" s="64" t="e">
        <f t="shared" si="106"/>
        <v>#N/A</v>
      </c>
      <c r="AS737" s="64" t="e">
        <f t="shared" si="107"/>
        <v>#N/A</v>
      </c>
    </row>
    <row r="738" spans="1:45" s="64" customFormat="1" ht="36" customHeight="1" x14ac:dyDescent="0.9">
      <c r="A738" s="64">
        <v>1</v>
      </c>
      <c r="B738" s="92">
        <f>SUBTOTAL(103,$A$548:A738)</f>
        <v>189</v>
      </c>
      <c r="C738" s="91" t="s">
        <v>440</v>
      </c>
      <c r="D738" s="126">
        <v>1980</v>
      </c>
      <c r="E738" s="126"/>
      <c r="F738" s="145" t="s">
        <v>273</v>
      </c>
      <c r="G738" s="126">
        <v>5</v>
      </c>
      <c r="H738" s="126">
        <v>2</v>
      </c>
      <c r="I738" s="117">
        <v>1589.4</v>
      </c>
      <c r="J738" s="117">
        <v>1176.4000000000001</v>
      </c>
      <c r="K738" s="117">
        <v>1117.8000000000002</v>
      </c>
      <c r="L738" s="127">
        <v>65</v>
      </c>
      <c r="M738" s="126" t="s">
        <v>271</v>
      </c>
      <c r="N738" s="126" t="s">
        <v>275</v>
      </c>
      <c r="O738" s="124" t="s">
        <v>333</v>
      </c>
      <c r="P738" s="118">
        <v>120000</v>
      </c>
      <c r="Q738" s="118">
        <v>0</v>
      </c>
      <c r="R738" s="118">
        <v>0</v>
      </c>
      <c r="S738" s="118">
        <f t="shared" si="101"/>
        <v>120000</v>
      </c>
      <c r="T738" s="118">
        <f t="shared" si="108"/>
        <v>75.500188750471878</v>
      </c>
      <c r="U738" s="118">
        <f t="shared" si="109"/>
        <v>75.500188750471878</v>
      </c>
      <c r="V738" s="183">
        <f t="shared" si="103"/>
        <v>0</v>
      </c>
      <c r="W738" s="183"/>
      <c r="X738" s="183"/>
      <c r="Y738" s="64">
        <f t="shared" si="104"/>
        <v>1149.8867497168742</v>
      </c>
      <c r="AA738" s="64">
        <f t="shared" si="105"/>
        <v>350</v>
      </c>
      <c r="AH738" s="64" t="e">
        <f t="shared" si="106"/>
        <v>#N/A</v>
      </c>
      <c r="AS738" s="64" t="e">
        <f t="shared" si="107"/>
        <v>#N/A</v>
      </c>
    </row>
    <row r="739" spans="1:45" s="64" customFormat="1" ht="36" customHeight="1" x14ac:dyDescent="0.9">
      <c r="A739" s="64">
        <v>1</v>
      </c>
      <c r="B739" s="92">
        <f>SUBTOTAL(103,$A$548:A739)</f>
        <v>190</v>
      </c>
      <c r="C739" s="91" t="s">
        <v>209</v>
      </c>
      <c r="D739" s="126">
        <v>1983</v>
      </c>
      <c r="E739" s="126"/>
      <c r="F739" s="145" t="s">
        <v>273</v>
      </c>
      <c r="G739" s="126">
        <v>5</v>
      </c>
      <c r="H739" s="126">
        <v>4</v>
      </c>
      <c r="I739" s="117">
        <v>3097.1</v>
      </c>
      <c r="J739" s="117">
        <v>2810.6</v>
      </c>
      <c r="K739" s="117">
        <v>2810.6</v>
      </c>
      <c r="L739" s="127">
        <v>127</v>
      </c>
      <c r="M739" s="126" t="s">
        <v>271</v>
      </c>
      <c r="N739" s="126" t="s">
        <v>275</v>
      </c>
      <c r="O739" s="124" t="s">
        <v>1018</v>
      </c>
      <c r="P739" s="118">
        <v>150000</v>
      </c>
      <c r="Q739" s="118">
        <v>0</v>
      </c>
      <c r="R739" s="118">
        <v>0</v>
      </c>
      <c r="S739" s="118">
        <f t="shared" si="101"/>
        <v>150000</v>
      </c>
      <c r="T739" s="118">
        <f t="shared" si="108"/>
        <v>48.432404507442449</v>
      </c>
      <c r="U739" s="118">
        <f t="shared" si="109"/>
        <v>48.432404507442449</v>
      </c>
      <c r="V739" s="183">
        <f t="shared" si="103"/>
        <v>0</v>
      </c>
      <c r="W739" s="183"/>
      <c r="X739" s="183"/>
      <c r="Y739" s="64">
        <f t="shared" si="104"/>
        <v>1684.3428368473735</v>
      </c>
      <c r="AA739" s="64">
        <f t="shared" si="105"/>
        <v>999</v>
      </c>
      <c r="AH739" s="64" t="e">
        <f t="shared" si="106"/>
        <v>#N/A</v>
      </c>
      <c r="AS739" s="64" t="e">
        <f t="shared" si="107"/>
        <v>#N/A</v>
      </c>
    </row>
    <row r="740" spans="1:45" s="64" customFormat="1" ht="36" customHeight="1" x14ac:dyDescent="0.9">
      <c r="A740" s="64">
        <v>1</v>
      </c>
      <c r="B740" s="92">
        <f>SUBTOTAL(103,$A$548:A740)</f>
        <v>191</v>
      </c>
      <c r="C740" s="91" t="s">
        <v>210</v>
      </c>
      <c r="D740" s="126">
        <v>1963</v>
      </c>
      <c r="E740" s="126"/>
      <c r="F740" s="145" t="s">
        <v>273</v>
      </c>
      <c r="G740" s="126">
        <v>2</v>
      </c>
      <c r="H740" s="126">
        <v>2</v>
      </c>
      <c r="I740" s="117">
        <v>490.8</v>
      </c>
      <c r="J740" s="117">
        <v>442.2</v>
      </c>
      <c r="K740" s="117">
        <v>442.2</v>
      </c>
      <c r="L740" s="127">
        <v>19</v>
      </c>
      <c r="M740" s="126" t="s">
        <v>271</v>
      </c>
      <c r="N740" s="126" t="s">
        <v>275</v>
      </c>
      <c r="O740" s="124" t="s">
        <v>334</v>
      </c>
      <c r="P740" s="118">
        <v>70000</v>
      </c>
      <c r="Q740" s="118">
        <v>0</v>
      </c>
      <c r="R740" s="118">
        <v>0</v>
      </c>
      <c r="S740" s="118">
        <f t="shared" si="101"/>
        <v>70000</v>
      </c>
      <c r="T740" s="118">
        <f t="shared" si="108"/>
        <v>142.62428687856561</v>
      </c>
      <c r="U740" s="118">
        <f t="shared" si="109"/>
        <v>142.62428687856561</v>
      </c>
      <c r="V740" s="183">
        <f t="shared" si="103"/>
        <v>0</v>
      </c>
      <c r="W740" s="183"/>
      <c r="X740" s="183"/>
      <c r="Y740" s="64" t="e">
        <f t="shared" si="104"/>
        <v>#N/A</v>
      </c>
      <c r="AA740" s="64" t="e">
        <f t="shared" si="105"/>
        <v>#N/A</v>
      </c>
      <c r="AH740" s="64" t="e">
        <f t="shared" si="106"/>
        <v>#N/A</v>
      </c>
      <c r="AS740" s="64" t="e">
        <f t="shared" si="107"/>
        <v>#N/A</v>
      </c>
    </row>
    <row r="741" spans="1:45" s="64" customFormat="1" ht="36" customHeight="1" x14ac:dyDescent="0.9">
      <c r="A741" s="64">
        <v>1</v>
      </c>
      <c r="B741" s="92">
        <f>SUBTOTAL(103,$A$548:A741)</f>
        <v>192</v>
      </c>
      <c r="C741" s="91" t="s">
        <v>211</v>
      </c>
      <c r="D741" s="126">
        <v>1969</v>
      </c>
      <c r="E741" s="126"/>
      <c r="F741" s="145" t="s">
        <v>273</v>
      </c>
      <c r="G741" s="126">
        <v>2</v>
      </c>
      <c r="H741" s="126">
        <v>2</v>
      </c>
      <c r="I741" s="117">
        <v>640.40000000000009</v>
      </c>
      <c r="J741" s="117">
        <v>589.20000000000005</v>
      </c>
      <c r="K741" s="117">
        <v>537.5</v>
      </c>
      <c r="L741" s="127">
        <v>31</v>
      </c>
      <c r="M741" s="126" t="s">
        <v>271</v>
      </c>
      <c r="N741" s="126" t="s">
        <v>275</v>
      </c>
      <c r="O741" s="124" t="s">
        <v>334</v>
      </c>
      <c r="P741" s="118">
        <v>70000</v>
      </c>
      <c r="Q741" s="118">
        <v>0</v>
      </c>
      <c r="R741" s="118">
        <v>0</v>
      </c>
      <c r="S741" s="118">
        <f t="shared" si="101"/>
        <v>70000</v>
      </c>
      <c r="T741" s="118">
        <f t="shared" si="108"/>
        <v>109.30668332292316</v>
      </c>
      <c r="U741" s="118">
        <f t="shared" si="109"/>
        <v>109.30668332292316</v>
      </c>
      <c r="V741" s="183">
        <f t="shared" si="103"/>
        <v>0</v>
      </c>
      <c r="W741" s="183"/>
      <c r="X741" s="183"/>
      <c r="Y741" s="64" t="e">
        <f t="shared" si="104"/>
        <v>#N/A</v>
      </c>
      <c r="AA741" s="64" t="e">
        <f t="shared" si="105"/>
        <v>#N/A</v>
      </c>
      <c r="AH741" s="64" t="e">
        <f t="shared" si="106"/>
        <v>#N/A</v>
      </c>
      <c r="AS741" s="64" t="e">
        <f t="shared" si="107"/>
        <v>#N/A</v>
      </c>
    </row>
    <row r="742" spans="1:45" s="64" customFormat="1" ht="36" customHeight="1" x14ac:dyDescent="0.9">
      <c r="A742" s="64">
        <v>1</v>
      </c>
      <c r="B742" s="92">
        <f>SUBTOTAL(103,$A$548:A742)</f>
        <v>193</v>
      </c>
      <c r="C742" s="91" t="s">
        <v>212</v>
      </c>
      <c r="D742" s="126">
        <v>1966</v>
      </c>
      <c r="E742" s="126"/>
      <c r="F742" s="145" t="s">
        <v>273</v>
      </c>
      <c r="G742" s="126">
        <v>2</v>
      </c>
      <c r="H742" s="126">
        <v>2</v>
      </c>
      <c r="I742" s="117">
        <v>781.6</v>
      </c>
      <c r="J742" s="117">
        <v>719.9</v>
      </c>
      <c r="K742" s="117">
        <v>670.3</v>
      </c>
      <c r="L742" s="127">
        <v>25</v>
      </c>
      <c r="M742" s="126" t="s">
        <v>271</v>
      </c>
      <c r="N742" s="126" t="s">
        <v>275</v>
      </c>
      <c r="O742" s="124" t="s">
        <v>334</v>
      </c>
      <c r="P742" s="118">
        <v>70000</v>
      </c>
      <c r="Q742" s="118">
        <v>0</v>
      </c>
      <c r="R742" s="118">
        <v>0</v>
      </c>
      <c r="S742" s="118">
        <f t="shared" si="101"/>
        <v>70000</v>
      </c>
      <c r="T742" s="118">
        <f t="shared" si="108"/>
        <v>89.559877175025591</v>
      </c>
      <c r="U742" s="118">
        <f t="shared" si="109"/>
        <v>89.559877175025591</v>
      </c>
      <c r="V742" s="183">
        <f t="shared" si="103"/>
        <v>0</v>
      </c>
      <c r="W742" s="183"/>
      <c r="X742" s="183"/>
      <c r="Y742" s="64" t="e">
        <f t="shared" si="104"/>
        <v>#N/A</v>
      </c>
      <c r="AA742" s="64" t="e">
        <f t="shared" si="105"/>
        <v>#N/A</v>
      </c>
      <c r="AH742" s="64" t="e">
        <f t="shared" si="106"/>
        <v>#N/A</v>
      </c>
      <c r="AS742" s="64" t="e">
        <f t="shared" si="107"/>
        <v>#N/A</v>
      </c>
    </row>
    <row r="743" spans="1:45" s="64" customFormat="1" ht="36" customHeight="1" x14ac:dyDescent="0.9">
      <c r="A743" s="64">
        <v>1</v>
      </c>
      <c r="B743" s="92">
        <f>SUBTOTAL(103,$A$548:A743)</f>
        <v>194</v>
      </c>
      <c r="C743" s="91" t="s">
        <v>441</v>
      </c>
      <c r="D743" s="126">
        <v>1963</v>
      </c>
      <c r="E743" s="126"/>
      <c r="F743" s="145" t="s">
        <v>273</v>
      </c>
      <c r="G743" s="126">
        <v>4</v>
      </c>
      <c r="H743" s="126">
        <v>3</v>
      </c>
      <c r="I743" s="117">
        <v>2141.94</v>
      </c>
      <c r="J743" s="117">
        <v>1753.08</v>
      </c>
      <c r="K743" s="117">
        <v>1544.6799999999998</v>
      </c>
      <c r="L743" s="127">
        <v>61</v>
      </c>
      <c r="M743" s="126" t="s">
        <v>271</v>
      </c>
      <c r="N743" s="126" t="s">
        <v>275</v>
      </c>
      <c r="O743" s="124" t="s">
        <v>1018</v>
      </c>
      <c r="P743" s="118">
        <v>180000</v>
      </c>
      <c r="Q743" s="118">
        <v>0</v>
      </c>
      <c r="R743" s="118">
        <v>0</v>
      </c>
      <c r="S743" s="118">
        <f t="shared" si="101"/>
        <v>180000</v>
      </c>
      <c r="T743" s="118">
        <f t="shared" si="108"/>
        <v>84.035967394044647</v>
      </c>
      <c r="U743" s="118">
        <f t="shared" si="109"/>
        <v>84.035967394044647</v>
      </c>
      <c r="V743" s="183">
        <f t="shared" si="103"/>
        <v>0</v>
      </c>
      <c r="W743" s="183"/>
      <c r="X743" s="183"/>
      <c r="Y743" s="64">
        <f t="shared" si="104"/>
        <v>2496.392616039665</v>
      </c>
      <c r="AA743" s="64">
        <f t="shared" si="105"/>
        <v>1024</v>
      </c>
      <c r="AH743" s="64" t="e">
        <f t="shared" si="106"/>
        <v>#N/A</v>
      </c>
      <c r="AS743" s="64" t="e">
        <f t="shared" si="107"/>
        <v>#N/A</v>
      </c>
    </row>
    <row r="744" spans="1:45" s="64" customFormat="1" ht="36" customHeight="1" x14ac:dyDescent="0.9">
      <c r="A744" s="64">
        <v>1</v>
      </c>
      <c r="B744" s="92">
        <f>SUBTOTAL(103,$A$548:A744)</f>
        <v>195</v>
      </c>
      <c r="C744" s="91" t="s">
        <v>442</v>
      </c>
      <c r="D744" s="126">
        <v>1974</v>
      </c>
      <c r="E744" s="126"/>
      <c r="F744" s="145" t="s">
        <v>273</v>
      </c>
      <c r="G744" s="126">
        <v>9</v>
      </c>
      <c r="H744" s="126">
        <v>2</v>
      </c>
      <c r="I744" s="117">
        <v>5409.4</v>
      </c>
      <c r="J744" s="117">
        <v>4377.3999999999996</v>
      </c>
      <c r="K744" s="117">
        <v>4227.7</v>
      </c>
      <c r="L744" s="127">
        <v>190</v>
      </c>
      <c r="M744" s="126" t="s">
        <v>271</v>
      </c>
      <c r="N744" s="126" t="s">
        <v>275</v>
      </c>
      <c r="O744" s="124" t="s">
        <v>1018</v>
      </c>
      <c r="P744" s="118">
        <v>100000</v>
      </c>
      <c r="Q744" s="118">
        <v>0</v>
      </c>
      <c r="R744" s="118">
        <v>0</v>
      </c>
      <c r="S744" s="118">
        <f t="shared" si="101"/>
        <v>100000</v>
      </c>
      <c r="T744" s="118">
        <f t="shared" si="108"/>
        <v>18.48633859577772</v>
      </c>
      <c r="U744" s="118">
        <f t="shared" si="109"/>
        <v>18.48633859577772</v>
      </c>
      <c r="V744" s="183">
        <f t="shared" si="103"/>
        <v>0</v>
      </c>
      <c r="W744" s="183"/>
      <c r="X744" s="183"/>
      <c r="Y744" s="64" t="e">
        <f t="shared" si="104"/>
        <v>#N/A</v>
      </c>
      <c r="AA744" s="64" t="e">
        <f t="shared" si="105"/>
        <v>#N/A</v>
      </c>
      <c r="AH744" s="64" t="e">
        <f t="shared" si="106"/>
        <v>#N/A</v>
      </c>
      <c r="AR744" s="64">
        <f>AS744*2207413/I744</f>
        <v>816.13968277442973</v>
      </c>
      <c r="AS744" s="64">
        <f t="shared" si="107"/>
        <v>2</v>
      </c>
    </row>
    <row r="745" spans="1:45" s="64" customFormat="1" ht="36" customHeight="1" x14ac:dyDescent="0.9">
      <c r="A745" s="64">
        <v>1</v>
      </c>
      <c r="B745" s="92">
        <f>SUBTOTAL(103,$A$548:A745)</f>
        <v>196</v>
      </c>
      <c r="C745" s="91" t="s">
        <v>443</v>
      </c>
      <c r="D745" s="126">
        <v>1958</v>
      </c>
      <c r="E745" s="126"/>
      <c r="F745" s="145" t="s">
        <v>273</v>
      </c>
      <c r="G745" s="126">
        <v>2</v>
      </c>
      <c r="H745" s="126">
        <v>2</v>
      </c>
      <c r="I745" s="117">
        <v>717.8</v>
      </c>
      <c r="J745" s="117">
        <v>649.4</v>
      </c>
      <c r="K745" s="117">
        <v>507.29999999999995</v>
      </c>
      <c r="L745" s="127">
        <v>47</v>
      </c>
      <c r="M745" s="126" t="s">
        <v>271</v>
      </c>
      <c r="N745" s="126" t="s">
        <v>275</v>
      </c>
      <c r="O745" s="124" t="s">
        <v>333</v>
      </c>
      <c r="P745" s="118">
        <v>150000</v>
      </c>
      <c r="Q745" s="118">
        <v>0</v>
      </c>
      <c r="R745" s="118">
        <v>0</v>
      </c>
      <c r="S745" s="118">
        <f t="shared" si="101"/>
        <v>150000</v>
      </c>
      <c r="T745" s="118">
        <f t="shared" si="108"/>
        <v>208.97185845639456</v>
      </c>
      <c r="U745" s="118">
        <f t="shared" si="109"/>
        <v>208.97185845639456</v>
      </c>
      <c r="V745" s="183">
        <f t="shared" si="103"/>
        <v>0</v>
      </c>
      <c r="W745" s="183"/>
      <c r="X745" s="183"/>
      <c r="Y745" s="64">
        <f t="shared" si="104"/>
        <v>4364.8370019504046</v>
      </c>
      <c r="AA745" s="64">
        <f t="shared" si="105"/>
        <v>600</v>
      </c>
      <c r="AH745" s="64" t="e">
        <f t="shared" si="106"/>
        <v>#N/A</v>
      </c>
      <c r="AS745" s="64" t="e">
        <f t="shared" si="107"/>
        <v>#N/A</v>
      </c>
    </row>
    <row r="746" spans="1:45" s="64" customFormat="1" ht="36" customHeight="1" x14ac:dyDescent="0.9">
      <c r="A746" s="64">
        <v>1</v>
      </c>
      <c r="B746" s="92">
        <f>SUBTOTAL(103,$A$548:A746)</f>
        <v>197</v>
      </c>
      <c r="C746" s="91" t="s">
        <v>444</v>
      </c>
      <c r="D746" s="126">
        <v>1956</v>
      </c>
      <c r="E746" s="126"/>
      <c r="F746" s="145" t="s">
        <v>332</v>
      </c>
      <c r="G746" s="126">
        <v>2</v>
      </c>
      <c r="H746" s="126">
        <v>3</v>
      </c>
      <c r="I746" s="117">
        <v>1239.2</v>
      </c>
      <c r="J746" s="117">
        <v>932.1</v>
      </c>
      <c r="K746" s="117">
        <v>643.79999999999995</v>
      </c>
      <c r="L746" s="127">
        <v>44</v>
      </c>
      <c r="M746" s="126" t="s">
        <v>271</v>
      </c>
      <c r="N746" s="126" t="s">
        <v>275</v>
      </c>
      <c r="O746" s="124" t="s">
        <v>329</v>
      </c>
      <c r="P746" s="118">
        <v>150000</v>
      </c>
      <c r="Q746" s="118">
        <v>0</v>
      </c>
      <c r="R746" s="118">
        <v>0</v>
      </c>
      <c r="S746" s="118">
        <f t="shared" si="101"/>
        <v>150000</v>
      </c>
      <c r="T746" s="118">
        <f t="shared" si="108"/>
        <v>121.0458360232408</v>
      </c>
      <c r="U746" s="118">
        <f t="shared" si="109"/>
        <v>121.0458360232408</v>
      </c>
      <c r="V746" s="183">
        <f t="shared" si="103"/>
        <v>0</v>
      </c>
      <c r="W746" s="183"/>
      <c r="X746" s="183"/>
      <c r="Y746" s="64">
        <f t="shared" si="104"/>
        <v>3147.744189799871</v>
      </c>
      <c r="AA746" s="64">
        <f t="shared" si="105"/>
        <v>747</v>
      </c>
      <c r="AH746" s="64" t="e">
        <f t="shared" si="106"/>
        <v>#N/A</v>
      </c>
      <c r="AS746" s="64" t="e">
        <f t="shared" si="107"/>
        <v>#N/A</v>
      </c>
    </row>
    <row r="747" spans="1:45" s="64" customFormat="1" ht="36" customHeight="1" x14ac:dyDescent="0.9">
      <c r="A747" s="64">
        <v>1</v>
      </c>
      <c r="B747" s="92">
        <f>SUBTOTAL(103,$A$548:A747)</f>
        <v>198</v>
      </c>
      <c r="C747" s="91" t="s">
        <v>445</v>
      </c>
      <c r="D747" s="126">
        <v>1968</v>
      </c>
      <c r="E747" s="126"/>
      <c r="F747" s="145" t="s">
        <v>273</v>
      </c>
      <c r="G747" s="126">
        <v>3</v>
      </c>
      <c r="H747" s="126">
        <v>2</v>
      </c>
      <c r="I747" s="117">
        <v>1032.5</v>
      </c>
      <c r="J747" s="117">
        <v>644</v>
      </c>
      <c r="K747" s="117">
        <v>445.9</v>
      </c>
      <c r="L747" s="127">
        <v>76</v>
      </c>
      <c r="M747" s="126" t="s">
        <v>271</v>
      </c>
      <c r="N747" s="126" t="s">
        <v>275</v>
      </c>
      <c r="O747" s="124" t="s">
        <v>336</v>
      </c>
      <c r="P747" s="118">
        <v>120000</v>
      </c>
      <c r="Q747" s="118">
        <v>0</v>
      </c>
      <c r="R747" s="118">
        <v>0</v>
      </c>
      <c r="S747" s="118">
        <f t="shared" si="101"/>
        <v>120000</v>
      </c>
      <c r="T747" s="118">
        <f t="shared" si="108"/>
        <v>116.22276029055691</v>
      </c>
      <c r="U747" s="118">
        <f t="shared" si="109"/>
        <v>116.22276029055691</v>
      </c>
      <c r="V747" s="183">
        <f t="shared" si="103"/>
        <v>0</v>
      </c>
      <c r="W747" s="183"/>
      <c r="X747" s="183"/>
      <c r="Y747" s="64">
        <f t="shared" si="104"/>
        <v>2442.7403389830506</v>
      </c>
      <c r="AA747" s="64">
        <f t="shared" si="105"/>
        <v>483</v>
      </c>
      <c r="AH747" s="64" t="e">
        <f t="shared" si="106"/>
        <v>#N/A</v>
      </c>
      <c r="AS747" s="64" t="e">
        <f t="shared" si="107"/>
        <v>#N/A</v>
      </c>
    </row>
    <row r="748" spans="1:45" s="64" customFormat="1" ht="36" customHeight="1" x14ac:dyDescent="0.9">
      <c r="A748" s="64">
        <v>1</v>
      </c>
      <c r="B748" s="92">
        <f>SUBTOTAL(103,$A$548:A748)</f>
        <v>199</v>
      </c>
      <c r="C748" s="91" t="s">
        <v>446</v>
      </c>
      <c r="D748" s="126">
        <v>1969</v>
      </c>
      <c r="E748" s="126"/>
      <c r="F748" s="145" t="s">
        <v>273</v>
      </c>
      <c r="G748" s="126">
        <v>5</v>
      </c>
      <c r="H748" s="126">
        <v>6</v>
      </c>
      <c r="I748" s="117">
        <v>5048.3000000000011</v>
      </c>
      <c r="J748" s="117">
        <v>4487.6000000000004</v>
      </c>
      <c r="K748" s="117">
        <v>3957.13</v>
      </c>
      <c r="L748" s="127">
        <v>204</v>
      </c>
      <c r="M748" s="126" t="s">
        <v>271</v>
      </c>
      <c r="N748" s="126" t="s">
        <v>275</v>
      </c>
      <c r="O748" s="124" t="s">
        <v>336</v>
      </c>
      <c r="P748" s="118">
        <v>180000</v>
      </c>
      <c r="Q748" s="118">
        <v>0</v>
      </c>
      <c r="R748" s="118">
        <v>0</v>
      </c>
      <c r="S748" s="118">
        <f t="shared" si="101"/>
        <v>180000</v>
      </c>
      <c r="T748" s="118">
        <f t="shared" si="108"/>
        <v>35.655567220648528</v>
      </c>
      <c r="U748" s="118">
        <f t="shared" si="109"/>
        <v>35.655567220648528</v>
      </c>
      <c r="V748" s="183">
        <f t="shared" si="103"/>
        <v>0</v>
      </c>
      <c r="W748" s="183"/>
      <c r="X748" s="183"/>
      <c r="Y748" s="64">
        <f t="shared" si="104"/>
        <v>1552.5863756115916</v>
      </c>
      <c r="AA748" s="64">
        <f t="shared" si="105"/>
        <v>1501</v>
      </c>
      <c r="AH748" s="64" t="e">
        <f t="shared" si="106"/>
        <v>#N/A</v>
      </c>
      <c r="AS748" s="64" t="e">
        <f t="shared" si="107"/>
        <v>#N/A</v>
      </c>
    </row>
    <row r="749" spans="1:45" s="64" customFormat="1" ht="36" customHeight="1" x14ac:dyDescent="0.9">
      <c r="A749" s="64">
        <v>1</v>
      </c>
      <c r="B749" s="92">
        <f>SUBTOTAL(103,$A$548:A749)</f>
        <v>200</v>
      </c>
      <c r="C749" s="91" t="s">
        <v>447</v>
      </c>
      <c r="D749" s="126">
        <v>1943</v>
      </c>
      <c r="E749" s="126"/>
      <c r="F749" s="145" t="s">
        <v>273</v>
      </c>
      <c r="G749" s="126">
        <v>2</v>
      </c>
      <c r="H749" s="126">
        <v>2</v>
      </c>
      <c r="I749" s="117">
        <v>715.9</v>
      </c>
      <c r="J749" s="117">
        <v>646.9</v>
      </c>
      <c r="K749" s="117">
        <v>547.55999999999995</v>
      </c>
      <c r="L749" s="127">
        <v>35</v>
      </c>
      <c r="M749" s="126" t="s">
        <v>271</v>
      </c>
      <c r="N749" s="126" t="s">
        <v>275</v>
      </c>
      <c r="O749" s="124" t="s">
        <v>333</v>
      </c>
      <c r="P749" s="118">
        <v>150000</v>
      </c>
      <c r="Q749" s="118">
        <v>0</v>
      </c>
      <c r="R749" s="118">
        <v>0</v>
      </c>
      <c r="S749" s="118">
        <f t="shared" si="101"/>
        <v>150000</v>
      </c>
      <c r="T749" s="118">
        <f t="shared" si="108"/>
        <v>209.52647017739909</v>
      </c>
      <c r="U749" s="118">
        <f t="shared" si="109"/>
        <v>209.52647017739909</v>
      </c>
      <c r="V749" s="183">
        <f t="shared" si="103"/>
        <v>0</v>
      </c>
      <c r="W749" s="183"/>
      <c r="X749" s="183"/>
      <c r="Y749" s="64">
        <f t="shared" si="104"/>
        <v>4376.4212878893704</v>
      </c>
      <c r="AA749" s="64">
        <f t="shared" si="105"/>
        <v>600</v>
      </c>
      <c r="AH749" s="64" t="e">
        <f t="shared" si="106"/>
        <v>#N/A</v>
      </c>
      <c r="AS749" s="64" t="e">
        <f t="shared" si="107"/>
        <v>#N/A</v>
      </c>
    </row>
    <row r="750" spans="1:45" s="64" customFormat="1" ht="36" customHeight="1" x14ac:dyDescent="0.9">
      <c r="A750" s="64">
        <v>1</v>
      </c>
      <c r="B750" s="92">
        <f>SUBTOTAL(103,$A$548:A750)</f>
        <v>201</v>
      </c>
      <c r="C750" s="91" t="s">
        <v>448</v>
      </c>
      <c r="D750" s="126">
        <v>1917</v>
      </c>
      <c r="E750" s="126"/>
      <c r="F750" s="145" t="s">
        <v>338</v>
      </c>
      <c r="G750" s="126">
        <v>2</v>
      </c>
      <c r="H750" s="126">
        <v>2</v>
      </c>
      <c r="I750" s="117">
        <v>643.4</v>
      </c>
      <c r="J750" s="117">
        <v>521.79999999999995</v>
      </c>
      <c r="K750" s="117">
        <v>423.09999999999997</v>
      </c>
      <c r="L750" s="127">
        <v>21</v>
      </c>
      <c r="M750" s="126" t="s">
        <v>271</v>
      </c>
      <c r="N750" s="126" t="s">
        <v>275</v>
      </c>
      <c r="O750" s="124" t="s">
        <v>329</v>
      </c>
      <c r="P750" s="118">
        <v>120000</v>
      </c>
      <c r="Q750" s="118">
        <v>0</v>
      </c>
      <c r="R750" s="118">
        <v>0</v>
      </c>
      <c r="S750" s="118">
        <f t="shared" si="101"/>
        <v>120000</v>
      </c>
      <c r="T750" s="118">
        <f t="shared" si="108"/>
        <v>186.50917003419335</v>
      </c>
      <c r="U750" s="118">
        <f t="shared" si="109"/>
        <v>186.50917003419335</v>
      </c>
      <c r="V750" s="183">
        <f t="shared" si="103"/>
        <v>0</v>
      </c>
      <c r="W750" s="183"/>
      <c r="X750" s="183"/>
      <c r="Y750" s="64">
        <f t="shared" si="104"/>
        <v>2994.7842710599939</v>
      </c>
      <c r="AA750" s="64">
        <f t="shared" si="105"/>
        <v>369</v>
      </c>
      <c r="AH750" s="64" t="e">
        <f t="shared" si="106"/>
        <v>#N/A</v>
      </c>
      <c r="AS750" s="64" t="e">
        <f t="shared" si="107"/>
        <v>#N/A</v>
      </c>
    </row>
    <row r="751" spans="1:45" s="64" customFormat="1" ht="36" customHeight="1" x14ac:dyDescent="0.9">
      <c r="A751" s="64">
        <v>1</v>
      </c>
      <c r="B751" s="92">
        <f>SUBTOTAL(103,$A$548:A751)</f>
        <v>202</v>
      </c>
      <c r="C751" s="91" t="s">
        <v>214</v>
      </c>
      <c r="D751" s="126">
        <v>1967</v>
      </c>
      <c r="E751" s="126"/>
      <c r="F751" s="145" t="s">
        <v>273</v>
      </c>
      <c r="G751" s="126">
        <v>2</v>
      </c>
      <c r="H751" s="126">
        <v>2</v>
      </c>
      <c r="I751" s="117">
        <v>678.4</v>
      </c>
      <c r="J751" s="117">
        <v>629.79999999999995</v>
      </c>
      <c r="K751" s="117">
        <v>589.79999999999995</v>
      </c>
      <c r="L751" s="127">
        <v>37</v>
      </c>
      <c r="M751" s="126" t="s">
        <v>271</v>
      </c>
      <c r="N751" s="126" t="s">
        <v>275</v>
      </c>
      <c r="O751" s="124" t="s">
        <v>335</v>
      </c>
      <c r="P751" s="118">
        <v>150000</v>
      </c>
      <c r="Q751" s="118">
        <v>0</v>
      </c>
      <c r="R751" s="118">
        <v>0</v>
      </c>
      <c r="S751" s="118">
        <f t="shared" si="101"/>
        <v>150000</v>
      </c>
      <c r="T751" s="118">
        <f t="shared" si="108"/>
        <v>221.10849056603774</v>
      </c>
      <c r="U751" s="118">
        <f t="shared" si="109"/>
        <v>221.10849056603774</v>
      </c>
      <c r="V751" s="183">
        <f t="shared" si="103"/>
        <v>0</v>
      </c>
      <c r="W751" s="183"/>
      <c r="X751" s="183"/>
      <c r="Y751" s="64">
        <f t="shared" si="104"/>
        <v>4041.0451061320755</v>
      </c>
      <c r="AA751" s="64">
        <f t="shared" si="105"/>
        <v>525</v>
      </c>
      <c r="AH751" s="64" t="e">
        <f t="shared" si="106"/>
        <v>#N/A</v>
      </c>
      <c r="AS751" s="64" t="e">
        <f t="shared" si="107"/>
        <v>#N/A</v>
      </c>
    </row>
    <row r="752" spans="1:45" s="64" customFormat="1" ht="36" customHeight="1" x14ac:dyDescent="0.9">
      <c r="A752" s="64">
        <v>1</v>
      </c>
      <c r="B752" s="92">
        <f>SUBTOTAL(103,$A$548:A752)</f>
        <v>203</v>
      </c>
      <c r="C752" s="91" t="s">
        <v>213</v>
      </c>
      <c r="D752" s="126">
        <v>1975</v>
      </c>
      <c r="E752" s="126"/>
      <c r="F752" s="145" t="s">
        <v>273</v>
      </c>
      <c r="G752" s="126">
        <v>2</v>
      </c>
      <c r="H752" s="126">
        <v>2</v>
      </c>
      <c r="I752" s="117">
        <v>817.4</v>
      </c>
      <c r="J752" s="117">
        <v>756.3</v>
      </c>
      <c r="K752" s="117">
        <v>652</v>
      </c>
      <c r="L752" s="127">
        <v>43</v>
      </c>
      <c r="M752" s="126" t="s">
        <v>271</v>
      </c>
      <c r="N752" s="126" t="s">
        <v>275</v>
      </c>
      <c r="O752" s="124" t="s">
        <v>335</v>
      </c>
      <c r="P752" s="118">
        <v>150000</v>
      </c>
      <c r="Q752" s="118">
        <v>0</v>
      </c>
      <c r="R752" s="118">
        <v>0</v>
      </c>
      <c r="S752" s="118">
        <f t="shared" si="101"/>
        <v>150000</v>
      </c>
      <c r="T752" s="118">
        <f t="shared" si="108"/>
        <v>183.50868607780768</v>
      </c>
      <c r="U752" s="118">
        <f t="shared" si="109"/>
        <v>183.50868607780768</v>
      </c>
      <c r="V752" s="183">
        <f t="shared" si="103"/>
        <v>0</v>
      </c>
      <c r="W752" s="183"/>
      <c r="X752" s="183"/>
      <c r="Y752" s="64">
        <f t="shared" si="104"/>
        <v>3922.4188891607541</v>
      </c>
      <c r="AA752" s="64">
        <f t="shared" si="105"/>
        <v>614</v>
      </c>
      <c r="AH752" s="64" t="e">
        <f t="shared" si="106"/>
        <v>#N/A</v>
      </c>
      <c r="AS752" s="64" t="e">
        <f t="shared" si="107"/>
        <v>#N/A</v>
      </c>
    </row>
    <row r="753" spans="1:45" s="64" customFormat="1" ht="36" customHeight="1" x14ac:dyDescent="0.9">
      <c r="A753" s="64">
        <v>1</v>
      </c>
      <c r="B753" s="92">
        <f>SUBTOTAL(103,$A$548:A753)</f>
        <v>204</v>
      </c>
      <c r="C753" s="91" t="s">
        <v>449</v>
      </c>
      <c r="D753" s="126">
        <v>1994</v>
      </c>
      <c r="E753" s="126"/>
      <c r="F753" s="145" t="s">
        <v>319</v>
      </c>
      <c r="G753" s="126">
        <v>9</v>
      </c>
      <c r="H753" s="126">
        <v>2</v>
      </c>
      <c r="I753" s="117">
        <v>4306.3</v>
      </c>
      <c r="J753" s="117">
        <v>3871</v>
      </c>
      <c r="K753" s="117">
        <v>3511.4</v>
      </c>
      <c r="L753" s="127">
        <v>173</v>
      </c>
      <c r="M753" s="126" t="s">
        <v>271</v>
      </c>
      <c r="N753" s="126" t="s">
        <v>275</v>
      </c>
      <c r="O753" s="124" t="s">
        <v>329</v>
      </c>
      <c r="P753" s="118">
        <v>100000</v>
      </c>
      <c r="Q753" s="118">
        <v>0</v>
      </c>
      <c r="R753" s="118">
        <v>0</v>
      </c>
      <c r="S753" s="118">
        <f t="shared" si="101"/>
        <v>100000</v>
      </c>
      <c r="T753" s="118">
        <f t="shared" si="108"/>
        <v>23.221791328983116</v>
      </c>
      <c r="U753" s="118">
        <f t="shared" si="109"/>
        <v>23.221791328983116</v>
      </c>
      <c r="V753" s="183">
        <f t="shared" si="103"/>
        <v>0</v>
      </c>
      <c r="W753" s="183"/>
      <c r="X753" s="183"/>
      <c r="Y753" s="64" t="e">
        <f t="shared" si="104"/>
        <v>#N/A</v>
      </c>
      <c r="AA753" s="64" t="e">
        <f t="shared" si="105"/>
        <v>#N/A</v>
      </c>
      <c r="AH753" s="64" t="e">
        <f t="shared" si="106"/>
        <v>#N/A</v>
      </c>
      <c r="AR753" s="64">
        <f>AS753*2207413/I753</f>
        <v>1025.2016812576921</v>
      </c>
      <c r="AS753" s="64">
        <f t="shared" si="107"/>
        <v>2</v>
      </c>
    </row>
    <row r="754" spans="1:45" s="64" customFormat="1" ht="36" customHeight="1" x14ac:dyDescent="0.9">
      <c r="A754" s="64">
        <v>1</v>
      </c>
      <c r="B754" s="92">
        <f>SUBTOTAL(103,$A$548:A754)</f>
        <v>205</v>
      </c>
      <c r="C754" s="91" t="s">
        <v>450</v>
      </c>
      <c r="D754" s="126">
        <v>1950</v>
      </c>
      <c r="E754" s="126"/>
      <c r="F754" s="145" t="s">
        <v>273</v>
      </c>
      <c r="G754" s="126">
        <v>2</v>
      </c>
      <c r="H754" s="126">
        <v>1</v>
      </c>
      <c r="I754" s="117">
        <v>411.15</v>
      </c>
      <c r="J754" s="117">
        <v>369.45</v>
      </c>
      <c r="K754" s="117">
        <v>369.45</v>
      </c>
      <c r="L754" s="127">
        <v>17</v>
      </c>
      <c r="M754" s="126" t="s">
        <v>271</v>
      </c>
      <c r="N754" s="126" t="s">
        <v>275</v>
      </c>
      <c r="O754" s="124" t="s">
        <v>329</v>
      </c>
      <c r="P754" s="118">
        <v>120000</v>
      </c>
      <c r="Q754" s="118">
        <v>0</v>
      </c>
      <c r="R754" s="118">
        <v>0</v>
      </c>
      <c r="S754" s="118">
        <f t="shared" si="101"/>
        <v>120000</v>
      </c>
      <c r="T754" s="118">
        <f t="shared" si="108"/>
        <v>291.86428310835464</v>
      </c>
      <c r="U754" s="118">
        <f t="shared" si="109"/>
        <v>291.86428310835464</v>
      </c>
      <c r="V754" s="183">
        <f t="shared" si="103"/>
        <v>0</v>
      </c>
      <c r="W754" s="183"/>
      <c r="X754" s="183"/>
      <c r="Y754" s="64">
        <f t="shared" si="104"/>
        <v>4699.1754834002195</v>
      </c>
      <c r="AA754" s="64">
        <f t="shared" si="105"/>
        <v>370</v>
      </c>
      <c r="AH754" s="64" t="e">
        <f t="shared" si="106"/>
        <v>#N/A</v>
      </c>
      <c r="AS754" s="64" t="e">
        <f t="shared" si="107"/>
        <v>#N/A</v>
      </c>
    </row>
    <row r="755" spans="1:45" s="64" customFormat="1" ht="36" customHeight="1" x14ac:dyDescent="0.9">
      <c r="A755" s="64">
        <v>1</v>
      </c>
      <c r="B755" s="92">
        <f>SUBTOTAL(103,$A$548:A755)</f>
        <v>206</v>
      </c>
      <c r="C755" s="91" t="s">
        <v>451</v>
      </c>
      <c r="D755" s="126">
        <v>1966</v>
      </c>
      <c r="E755" s="126"/>
      <c r="F755" s="145" t="s">
        <v>273</v>
      </c>
      <c r="G755" s="126">
        <v>2</v>
      </c>
      <c r="H755" s="126">
        <v>2</v>
      </c>
      <c r="I755" s="117">
        <v>667.6</v>
      </c>
      <c r="J755" s="117">
        <v>626.5</v>
      </c>
      <c r="K755" s="117">
        <v>586.70000000000005</v>
      </c>
      <c r="L755" s="127">
        <v>37</v>
      </c>
      <c r="M755" s="126" t="s">
        <v>271</v>
      </c>
      <c r="N755" s="126" t="s">
        <v>275</v>
      </c>
      <c r="O755" s="124" t="s">
        <v>335</v>
      </c>
      <c r="P755" s="118">
        <v>150000</v>
      </c>
      <c r="Q755" s="118">
        <v>0</v>
      </c>
      <c r="R755" s="118">
        <v>0</v>
      </c>
      <c r="S755" s="118">
        <f t="shared" si="101"/>
        <v>150000</v>
      </c>
      <c r="T755" s="118">
        <f t="shared" si="108"/>
        <v>224.68544038346315</v>
      </c>
      <c r="U755" s="118">
        <f t="shared" si="109"/>
        <v>224.68544038346315</v>
      </c>
      <c r="V755" s="183">
        <f t="shared" si="103"/>
        <v>0</v>
      </c>
      <c r="W755" s="183"/>
      <c r="X755" s="183"/>
      <c r="Y755" s="64">
        <f t="shared" si="104"/>
        <v>4145.5272618334329</v>
      </c>
      <c r="AA755" s="64">
        <f t="shared" si="105"/>
        <v>530</v>
      </c>
      <c r="AH755" s="64" t="e">
        <f t="shared" si="106"/>
        <v>#N/A</v>
      </c>
      <c r="AS755" s="64" t="e">
        <f t="shared" si="107"/>
        <v>#N/A</v>
      </c>
    </row>
    <row r="756" spans="1:45" s="64" customFormat="1" ht="36" customHeight="1" x14ac:dyDescent="0.9">
      <c r="A756" s="64">
        <v>1</v>
      </c>
      <c r="B756" s="92">
        <f>SUBTOTAL(103,$A$548:A756)</f>
        <v>207</v>
      </c>
      <c r="C756" s="91" t="s">
        <v>452</v>
      </c>
      <c r="D756" s="126">
        <v>1977</v>
      </c>
      <c r="E756" s="126"/>
      <c r="F756" s="145" t="s">
        <v>273</v>
      </c>
      <c r="G756" s="126">
        <v>9</v>
      </c>
      <c r="H756" s="126">
        <v>1</v>
      </c>
      <c r="I756" s="117">
        <v>2576</v>
      </c>
      <c r="J756" s="117">
        <v>2212.6999999999998</v>
      </c>
      <c r="K756" s="117">
        <v>2123.6999999999998</v>
      </c>
      <c r="L756" s="127">
        <v>106</v>
      </c>
      <c r="M756" s="126" t="s">
        <v>271</v>
      </c>
      <c r="N756" s="126" t="s">
        <v>275</v>
      </c>
      <c r="O756" s="124" t="s">
        <v>335</v>
      </c>
      <c r="P756" s="118">
        <v>120000</v>
      </c>
      <c r="Q756" s="118">
        <v>0</v>
      </c>
      <c r="R756" s="118">
        <v>0</v>
      </c>
      <c r="S756" s="118">
        <f t="shared" si="101"/>
        <v>120000</v>
      </c>
      <c r="T756" s="118">
        <f t="shared" si="108"/>
        <v>46.58385093167702</v>
      </c>
      <c r="U756" s="118">
        <f t="shared" si="109"/>
        <v>46.58385093167702</v>
      </c>
      <c r="V756" s="183">
        <f t="shared" si="103"/>
        <v>0</v>
      </c>
      <c r="W756" s="183"/>
      <c r="X756" s="183"/>
      <c r="Y756" s="64">
        <f t="shared" si="104"/>
        <v>802.7301242236025</v>
      </c>
      <c r="AA756" s="64">
        <f t="shared" si="105"/>
        <v>396</v>
      </c>
      <c r="AH756" s="64" t="e">
        <f t="shared" si="106"/>
        <v>#N/A</v>
      </c>
      <c r="AS756" s="64" t="e">
        <f t="shared" si="107"/>
        <v>#N/A</v>
      </c>
    </row>
    <row r="757" spans="1:45" s="64" customFormat="1" ht="36" customHeight="1" x14ac:dyDescent="0.9">
      <c r="A757" s="64">
        <v>1</v>
      </c>
      <c r="B757" s="92">
        <f>SUBTOTAL(103,$A$548:A757)</f>
        <v>208</v>
      </c>
      <c r="C757" s="91" t="s">
        <v>839</v>
      </c>
      <c r="D757" s="126">
        <v>1988</v>
      </c>
      <c r="E757" s="126"/>
      <c r="F757" s="145" t="s">
        <v>273</v>
      </c>
      <c r="G757" s="126">
        <v>9</v>
      </c>
      <c r="H757" s="126">
        <v>3</v>
      </c>
      <c r="I757" s="117">
        <v>6719</v>
      </c>
      <c r="J757" s="117">
        <v>5795.4</v>
      </c>
      <c r="K757" s="117">
        <v>5264.2</v>
      </c>
      <c r="L757" s="127">
        <v>304</v>
      </c>
      <c r="M757" s="126" t="s">
        <v>271</v>
      </c>
      <c r="N757" s="126" t="s">
        <v>275</v>
      </c>
      <c r="O757" s="124" t="s">
        <v>1015</v>
      </c>
      <c r="P757" s="118">
        <v>100000</v>
      </c>
      <c r="Q757" s="118">
        <v>0</v>
      </c>
      <c r="R757" s="118">
        <v>0</v>
      </c>
      <c r="S757" s="118">
        <f t="shared" si="101"/>
        <v>100000</v>
      </c>
      <c r="T757" s="118">
        <f t="shared" si="108"/>
        <v>14.883167137966959</v>
      </c>
      <c r="U757" s="118">
        <f t="shared" si="109"/>
        <v>14.883167137966959</v>
      </c>
      <c r="V757" s="183">
        <f t="shared" si="103"/>
        <v>0</v>
      </c>
      <c r="W757" s="183"/>
      <c r="X757" s="183"/>
      <c r="Y757" s="64" t="e">
        <f t="shared" si="104"/>
        <v>#N/A</v>
      </c>
      <c r="AA757" s="64" t="e">
        <f t="shared" si="105"/>
        <v>#N/A</v>
      </c>
      <c r="AH757" s="64" t="e">
        <f t="shared" si="106"/>
        <v>#N/A</v>
      </c>
      <c r="AR757" s="64">
        <f>AS757*2207413/I757</f>
        <v>985.59889864563183</v>
      </c>
      <c r="AS757" s="64">
        <f t="shared" si="107"/>
        <v>3</v>
      </c>
    </row>
    <row r="758" spans="1:45" s="64" customFormat="1" ht="36" customHeight="1" x14ac:dyDescent="0.9">
      <c r="B758" s="91" t="s">
        <v>785</v>
      </c>
      <c r="C758" s="91"/>
      <c r="D758" s="126" t="s">
        <v>916</v>
      </c>
      <c r="E758" s="126" t="s">
        <v>916</v>
      </c>
      <c r="F758" s="126" t="s">
        <v>916</v>
      </c>
      <c r="G758" s="126" t="s">
        <v>916</v>
      </c>
      <c r="H758" s="126" t="s">
        <v>916</v>
      </c>
      <c r="I758" s="117">
        <f>SUM(I759:I778)</f>
        <v>71756.509999999995</v>
      </c>
      <c r="J758" s="117">
        <f>SUM(J759:J778)</f>
        <v>53302.6</v>
      </c>
      <c r="K758" s="117">
        <f>SUM(K759:K778)</f>
        <v>51720.299999999996</v>
      </c>
      <c r="L758" s="127">
        <f>SUM(L759:L778)</f>
        <v>2297</v>
      </c>
      <c r="M758" s="126" t="s">
        <v>916</v>
      </c>
      <c r="N758" s="126" t="s">
        <v>916</v>
      </c>
      <c r="O758" s="124" t="s">
        <v>916</v>
      </c>
      <c r="P758" s="117">
        <v>43029746.93</v>
      </c>
      <c r="Q758" s="117">
        <f>SUM(Q759:Q778)</f>
        <v>0</v>
      </c>
      <c r="R758" s="117">
        <f>SUM(R759:R778)</f>
        <v>0</v>
      </c>
      <c r="S758" s="117">
        <f>SUM(S759:S778)</f>
        <v>43029746.93</v>
      </c>
      <c r="T758" s="118">
        <f t="shared" si="108"/>
        <v>599.66331877065932</v>
      </c>
      <c r="U758" s="118">
        <f>MAX(U759:U778)</f>
        <v>2842.6366863905328</v>
      </c>
      <c r="V758" s="183">
        <f t="shared" si="103"/>
        <v>2242.9733676198734</v>
      </c>
      <c r="W758" s="183"/>
      <c r="X758" s="183"/>
      <c r="Y758" s="64" t="e">
        <f t="shared" si="104"/>
        <v>#N/A</v>
      </c>
      <c r="AA758" s="64" t="e">
        <f t="shared" si="105"/>
        <v>#N/A</v>
      </c>
      <c r="AH758" s="64" t="e">
        <f t="shared" si="106"/>
        <v>#N/A</v>
      </c>
      <c r="AS758" s="64" t="e">
        <f t="shared" si="107"/>
        <v>#N/A</v>
      </c>
    </row>
    <row r="759" spans="1:45" s="64" customFormat="1" ht="36" customHeight="1" x14ac:dyDescent="0.9">
      <c r="A759" s="64">
        <v>1</v>
      </c>
      <c r="B759" s="92">
        <f>SUBTOTAL(103,$A$548:A759)</f>
        <v>209</v>
      </c>
      <c r="C759" s="91" t="s">
        <v>798</v>
      </c>
      <c r="D759" s="126">
        <v>1959</v>
      </c>
      <c r="E759" s="126"/>
      <c r="F759" s="145" t="s">
        <v>344</v>
      </c>
      <c r="G759" s="126">
        <v>3</v>
      </c>
      <c r="H759" s="126">
        <v>2</v>
      </c>
      <c r="I759" s="117">
        <v>1267.5</v>
      </c>
      <c r="J759" s="117">
        <v>1160</v>
      </c>
      <c r="K759" s="117">
        <v>785.9</v>
      </c>
      <c r="L759" s="127">
        <v>31</v>
      </c>
      <c r="M759" s="126" t="s">
        <v>271</v>
      </c>
      <c r="N759" s="126" t="s">
        <v>272</v>
      </c>
      <c r="O759" s="124" t="s">
        <v>274</v>
      </c>
      <c r="P759" s="118">
        <v>3593042</v>
      </c>
      <c r="Q759" s="118">
        <v>0</v>
      </c>
      <c r="R759" s="118">
        <v>0</v>
      </c>
      <c r="S759" s="118">
        <f t="shared" ref="S759:S778" si="110">P759-Q759-R759</f>
        <v>3593042</v>
      </c>
      <c r="T759" s="118">
        <f t="shared" si="108"/>
        <v>2834.7471400394479</v>
      </c>
      <c r="U759" s="118">
        <f>Y759</f>
        <v>2842.6366863905328</v>
      </c>
      <c r="V759" s="183">
        <f t="shared" si="103"/>
        <v>7.8895463510848458</v>
      </c>
      <c r="W759" s="183"/>
      <c r="X759" s="183"/>
      <c r="Y759" s="64">
        <f t="shared" si="104"/>
        <v>2842.6366863905328</v>
      </c>
      <c r="AA759" s="64">
        <f t="shared" si="105"/>
        <v>690</v>
      </c>
      <c r="AH759" s="64" t="e">
        <f t="shared" si="106"/>
        <v>#N/A</v>
      </c>
      <c r="AS759" s="64" t="e">
        <f t="shared" si="107"/>
        <v>#N/A</v>
      </c>
    </row>
    <row r="760" spans="1:45" s="64" customFormat="1" ht="36" customHeight="1" x14ac:dyDescent="0.9">
      <c r="A760" s="64">
        <v>1</v>
      </c>
      <c r="B760" s="92">
        <f>SUBTOTAL(103,$A$548:A760)</f>
        <v>210</v>
      </c>
      <c r="C760" s="91" t="s">
        <v>799</v>
      </c>
      <c r="D760" s="126">
        <v>1992</v>
      </c>
      <c r="E760" s="126"/>
      <c r="F760" s="145" t="s">
        <v>326</v>
      </c>
      <c r="G760" s="126">
        <v>9</v>
      </c>
      <c r="H760" s="126">
        <v>3</v>
      </c>
      <c r="I760" s="117">
        <v>8073.1</v>
      </c>
      <c r="J760" s="117">
        <v>5829</v>
      </c>
      <c r="K760" s="117">
        <v>5829</v>
      </c>
      <c r="L760" s="127">
        <v>241</v>
      </c>
      <c r="M760" s="126" t="s">
        <v>271</v>
      </c>
      <c r="N760" s="126" t="s">
        <v>275</v>
      </c>
      <c r="O760" s="124" t="s">
        <v>826</v>
      </c>
      <c r="P760" s="118">
        <v>6429744.8300000001</v>
      </c>
      <c r="Q760" s="118">
        <v>0</v>
      </c>
      <c r="R760" s="118">
        <v>0</v>
      </c>
      <c r="S760" s="118">
        <f t="shared" si="110"/>
        <v>6429744.8300000001</v>
      </c>
      <c r="T760" s="118">
        <f t="shared" si="108"/>
        <v>796.44062751607191</v>
      </c>
      <c r="U760" s="118">
        <f>AR760</f>
        <v>820.28452515142874</v>
      </c>
      <c r="V760" s="183">
        <f t="shared" si="103"/>
        <v>23.843897635356825</v>
      </c>
      <c r="W760" s="183"/>
      <c r="X760" s="183"/>
      <c r="Y760" s="64" t="e">
        <f t="shared" si="104"/>
        <v>#N/A</v>
      </c>
      <c r="AA760" s="64" t="e">
        <f t="shared" si="105"/>
        <v>#N/A</v>
      </c>
      <c r="AH760" s="64" t="e">
        <f t="shared" si="106"/>
        <v>#N/A</v>
      </c>
      <c r="AR760" s="64">
        <f>AS760*2207413/I760</f>
        <v>820.28452515142874</v>
      </c>
      <c r="AS760" s="64">
        <f t="shared" si="107"/>
        <v>3</v>
      </c>
    </row>
    <row r="761" spans="1:45" s="64" customFormat="1" ht="36" customHeight="1" x14ac:dyDescent="0.9">
      <c r="A761" s="64">
        <v>1</v>
      </c>
      <c r="B761" s="92">
        <f>SUBTOTAL(103,$A$548:A761)</f>
        <v>211</v>
      </c>
      <c r="C761" s="91" t="s">
        <v>800</v>
      </c>
      <c r="D761" s="126">
        <v>1993</v>
      </c>
      <c r="E761" s="126"/>
      <c r="F761" s="145" t="s">
        <v>326</v>
      </c>
      <c r="G761" s="126">
        <v>9</v>
      </c>
      <c r="H761" s="126">
        <v>4</v>
      </c>
      <c r="I761" s="117">
        <v>11047.1</v>
      </c>
      <c r="J761" s="117">
        <v>7851.2</v>
      </c>
      <c r="K761" s="117">
        <v>7851.2</v>
      </c>
      <c r="L761" s="127">
        <v>267</v>
      </c>
      <c r="M761" s="126" t="s">
        <v>271</v>
      </c>
      <c r="N761" s="126" t="s">
        <v>275</v>
      </c>
      <c r="O761" s="124" t="s">
        <v>832</v>
      </c>
      <c r="P761" s="118">
        <v>8572796.0600000005</v>
      </c>
      <c r="Q761" s="118">
        <v>0</v>
      </c>
      <c r="R761" s="118">
        <v>0</v>
      </c>
      <c r="S761" s="118">
        <f t="shared" si="110"/>
        <v>8572796.0600000005</v>
      </c>
      <c r="T761" s="118">
        <f t="shared" si="108"/>
        <v>776.0223099274923</v>
      </c>
      <c r="U761" s="118">
        <f>AR761</f>
        <v>799.27329344352813</v>
      </c>
      <c r="V761" s="183">
        <f t="shared" si="103"/>
        <v>23.250983516035831</v>
      </c>
      <c r="W761" s="183"/>
      <c r="X761" s="183"/>
      <c r="Y761" s="64" t="e">
        <f t="shared" si="104"/>
        <v>#N/A</v>
      </c>
      <c r="AA761" s="64" t="e">
        <f t="shared" si="105"/>
        <v>#N/A</v>
      </c>
      <c r="AH761" s="64" t="e">
        <f t="shared" si="106"/>
        <v>#N/A</v>
      </c>
      <c r="AR761" s="64">
        <f>AS761*2207413/I761</f>
        <v>799.27329344352813</v>
      </c>
      <c r="AS761" s="64">
        <f t="shared" si="107"/>
        <v>4</v>
      </c>
    </row>
    <row r="762" spans="1:45" s="64" customFormat="1" ht="36" customHeight="1" x14ac:dyDescent="0.9">
      <c r="A762" s="64">
        <v>1</v>
      </c>
      <c r="B762" s="92">
        <f>SUBTOTAL(103,$A$548:A762)</f>
        <v>212</v>
      </c>
      <c r="C762" s="91" t="s">
        <v>1105</v>
      </c>
      <c r="D762" s="126">
        <v>1960</v>
      </c>
      <c r="E762" s="126"/>
      <c r="F762" s="145" t="s">
        <v>273</v>
      </c>
      <c r="G762" s="126">
        <v>3</v>
      </c>
      <c r="H762" s="126">
        <v>2</v>
      </c>
      <c r="I762" s="117">
        <v>1377.9</v>
      </c>
      <c r="J762" s="117">
        <v>966.6</v>
      </c>
      <c r="K762" s="117">
        <v>966.6</v>
      </c>
      <c r="L762" s="127">
        <v>28</v>
      </c>
      <c r="M762" s="126" t="s">
        <v>271</v>
      </c>
      <c r="N762" s="126" t="s">
        <v>272</v>
      </c>
      <c r="O762" s="124" t="s">
        <v>274</v>
      </c>
      <c r="P762" s="118">
        <v>2932000</v>
      </c>
      <c r="Q762" s="118">
        <v>0</v>
      </c>
      <c r="R762" s="118">
        <v>0</v>
      </c>
      <c r="S762" s="118">
        <f t="shared" si="110"/>
        <v>2932000</v>
      </c>
      <c r="T762" s="118">
        <f t="shared" si="108"/>
        <v>2127.8757529573986</v>
      </c>
      <c r="U762" s="118">
        <f>Y762</f>
        <v>2235.9111691704766</v>
      </c>
      <c r="V762" s="183">
        <f t="shared" si="103"/>
        <v>108.03541621307795</v>
      </c>
      <c r="W762" s="183"/>
      <c r="X762" s="183"/>
      <c r="Y762" s="64">
        <f t="shared" si="104"/>
        <v>2235.9111691704766</v>
      </c>
      <c r="AA762" s="64">
        <f t="shared" si="105"/>
        <v>590</v>
      </c>
      <c r="AH762" s="64" t="e">
        <f t="shared" si="106"/>
        <v>#N/A</v>
      </c>
      <c r="AS762" s="64" t="e">
        <f t="shared" si="107"/>
        <v>#N/A</v>
      </c>
    </row>
    <row r="763" spans="1:45" s="64" customFormat="1" ht="36" customHeight="1" x14ac:dyDescent="0.9">
      <c r="A763" s="64">
        <v>1</v>
      </c>
      <c r="B763" s="92">
        <f>SUBTOTAL(103,$A$548:A763)</f>
        <v>213</v>
      </c>
      <c r="C763" s="91" t="s">
        <v>802</v>
      </c>
      <c r="D763" s="126">
        <v>1994</v>
      </c>
      <c r="E763" s="126"/>
      <c r="F763" s="145" t="s">
        <v>326</v>
      </c>
      <c r="G763" s="126">
        <v>9</v>
      </c>
      <c r="H763" s="126">
        <v>2</v>
      </c>
      <c r="I763" s="117">
        <v>4866.8599999999997</v>
      </c>
      <c r="J763" s="117">
        <v>3886.2</v>
      </c>
      <c r="K763" s="117">
        <v>3886.2</v>
      </c>
      <c r="L763" s="127">
        <v>159</v>
      </c>
      <c r="M763" s="126" t="s">
        <v>271</v>
      </c>
      <c r="N763" s="126" t="s">
        <v>275</v>
      </c>
      <c r="O763" s="124" t="s">
        <v>828</v>
      </c>
      <c r="P763" s="118">
        <v>4286989.16</v>
      </c>
      <c r="Q763" s="118">
        <v>0</v>
      </c>
      <c r="R763" s="118">
        <v>0</v>
      </c>
      <c r="S763" s="118">
        <f t="shared" si="110"/>
        <v>4286989.16</v>
      </c>
      <c r="T763" s="118">
        <f t="shared" si="108"/>
        <v>880.85319076365465</v>
      </c>
      <c r="U763" s="118">
        <f>AR763</f>
        <v>907.11999112364038</v>
      </c>
      <c r="V763" s="183">
        <f t="shared" si="103"/>
        <v>26.266800359985723</v>
      </c>
      <c r="W763" s="183"/>
      <c r="X763" s="183"/>
      <c r="Y763" s="64" t="e">
        <f t="shared" si="104"/>
        <v>#N/A</v>
      </c>
      <c r="AA763" s="64" t="e">
        <f t="shared" si="105"/>
        <v>#N/A</v>
      </c>
      <c r="AH763" s="64" t="e">
        <f t="shared" si="106"/>
        <v>#N/A</v>
      </c>
      <c r="AR763" s="64">
        <f>AS763*2207413/I763</f>
        <v>907.11999112364038</v>
      </c>
      <c r="AS763" s="64">
        <f t="shared" si="107"/>
        <v>2</v>
      </c>
    </row>
    <row r="764" spans="1:45" s="64" customFormat="1" ht="36" customHeight="1" x14ac:dyDescent="0.9">
      <c r="A764" s="64">
        <v>1</v>
      </c>
      <c r="B764" s="92">
        <f>SUBTOTAL(103,$A$548:A764)</f>
        <v>214</v>
      </c>
      <c r="C764" s="91" t="s">
        <v>803</v>
      </c>
      <c r="D764" s="126">
        <v>1966</v>
      </c>
      <c r="E764" s="126"/>
      <c r="F764" s="145" t="s">
        <v>273</v>
      </c>
      <c r="G764" s="126">
        <v>4</v>
      </c>
      <c r="H764" s="126">
        <v>4</v>
      </c>
      <c r="I764" s="117">
        <v>3436.5</v>
      </c>
      <c r="J764" s="117">
        <v>2673</v>
      </c>
      <c r="K764" s="117">
        <v>2483.9</v>
      </c>
      <c r="L764" s="127">
        <v>109</v>
      </c>
      <c r="M764" s="126" t="s">
        <v>271</v>
      </c>
      <c r="N764" s="126" t="s">
        <v>275</v>
      </c>
      <c r="O764" s="124" t="s">
        <v>828</v>
      </c>
      <c r="P764" s="118">
        <v>5501631.04</v>
      </c>
      <c r="Q764" s="118">
        <v>0</v>
      </c>
      <c r="R764" s="118">
        <v>0</v>
      </c>
      <c r="S764" s="118">
        <f t="shared" si="110"/>
        <v>5501631.04</v>
      </c>
      <c r="T764" s="118">
        <f t="shared" si="108"/>
        <v>1600.9402124254329</v>
      </c>
      <c r="U764" s="118">
        <f>Y764</f>
        <v>1753.515844609341</v>
      </c>
      <c r="V764" s="183">
        <f t="shared" si="103"/>
        <v>152.57563218390806</v>
      </c>
      <c r="W764" s="183"/>
      <c r="X764" s="183"/>
      <c r="Y764" s="64">
        <f t="shared" si="104"/>
        <v>1753.515844609341</v>
      </c>
      <c r="AA764" s="64">
        <f t="shared" si="105"/>
        <v>1154</v>
      </c>
      <c r="AH764" s="64" t="e">
        <f t="shared" si="106"/>
        <v>#N/A</v>
      </c>
      <c r="AS764" s="64" t="e">
        <f t="shared" si="107"/>
        <v>#N/A</v>
      </c>
    </row>
    <row r="765" spans="1:45" s="64" customFormat="1" ht="36" customHeight="1" x14ac:dyDescent="0.9">
      <c r="A765" s="64">
        <v>1</v>
      </c>
      <c r="B765" s="92">
        <f>SUBTOTAL(103,$A$548:A765)</f>
        <v>215</v>
      </c>
      <c r="C765" s="91" t="s">
        <v>804</v>
      </c>
      <c r="D765" s="126">
        <v>1992</v>
      </c>
      <c r="E765" s="126"/>
      <c r="F765" s="145" t="s">
        <v>326</v>
      </c>
      <c r="G765" s="126">
        <v>9</v>
      </c>
      <c r="H765" s="126">
        <v>2</v>
      </c>
      <c r="I765" s="117">
        <v>4929.04</v>
      </c>
      <c r="J765" s="117">
        <v>3924.5</v>
      </c>
      <c r="K765" s="117">
        <v>3924.5</v>
      </c>
      <c r="L765" s="127">
        <v>180</v>
      </c>
      <c r="M765" s="126" t="s">
        <v>271</v>
      </c>
      <c r="N765" s="126" t="s">
        <v>275</v>
      </c>
      <c r="O765" s="124" t="s">
        <v>833</v>
      </c>
      <c r="P765" s="118">
        <v>4286989.16</v>
      </c>
      <c r="Q765" s="118">
        <v>0</v>
      </c>
      <c r="R765" s="118">
        <v>0</v>
      </c>
      <c r="S765" s="118">
        <f t="shared" si="110"/>
        <v>4286989.16</v>
      </c>
      <c r="T765" s="118">
        <f t="shared" si="108"/>
        <v>869.74119909759304</v>
      </c>
      <c r="U765" s="118">
        <f>AR765</f>
        <v>895.67664291626772</v>
      </c>
      <c r="V765" s="183">
        <f t="shared" si="103"/>
        <v>25.935443818674685</v>
      </c>
      <c r="W765" s="183"/>
      <c r="X765" s="183"/>
      <c r="Y765" s="64" t="e">
        <f t="shared" si="104"/>
        <v>#N/A</v>
      </c>
      <c r="AA765" s="64" t="e">
        <f t="shared" si="105"/>
        <v>#N/A</v>
      </c>
      <c r="AH765" s="64" t="e">
        <f t="shared" si="106"/>
        <v>#N/A</v>
      </c>
      <c r="AR765" s="64">
        <f>AS765*2207413/I765</f>
        <v>895.67664291626772</v>
      </c>
      <c r="AS765" s="64">
        <f t="shared" si="107"/>
        <v>2</v>
      </c>
    </row>
    <row r="766" spans="1:45" s="64" customFormat="1" ht="36" customHeight="1" x14ac:dyDescent="0.9">
      <c r="A766" s="64">
        <v>1</v>
      </c>
      <c r="B766" s="92">
        <f>SUBTOTAL(103,$A$548:A766)</f>
        <v>216</v>
      </c>
      <c r="C766" s="91" t="s">
        <v>805</v>
      </c>
      <c r="D766" s="126">
        <v>1990</v>
      </c>
      <c r="E766" s="126"/>
      <c r="F766" s="145" t="s">
        <v>273</v>
      </c>
      <c r="G766" s="126">
        <v>9</v>
      </c>
      <c r="H766" s="126">
        <v>1</v>
      </c>
      <c r="I766" s="117">
        <v>5846.4</v>
      </c>
      <c r="J766" s="117">
        <v>4863.8999999999996</v>
      </c>
      <c r="K766" s="117">
        <v>4863.8999999999996</v>
      </c>
      <c r="L766" s="127">
        <v>374</v>
      </c>
      <c r="M766" s="126" t="s">
        <v>271</v>
      </c>
      <c r="N766" s="126" t="s">
        <v>275</v>
      </c>
      <c r="O766" s="124" t="s">
        <v>834</v>
      </c>
      <c r="P766" s="118">
        <v>2216554.6800000002</v>
      </c>
      <c r="Q766" s="118">
        <v>0</v>
      </c>
      <c r="R766" s="118">
        <v>0</v>
      </c>
      <c r="S766" s="118">
        <f t="shared" si="110"/>
        <v>2216554.6800000002</v>
      </c>
      <c r="T766" s="118">
        <f t="shared" si="108"/>
        <v>379.13154761904769</v>
      </c>
      <c r="U766" s="118">
        <f>T766</f>
        <v>379.13154761904769</v>
      </c>
      <c r="V766" s="183">
        <f t="shared" si="103"/>
        <v>0</v>
      </c>
      <c r="W766" s="183"/>
      <c r="X766" s="183"/>
      <c r="Y766" s="64" t="e">
        <f t="shared" si="104"/>
        <v>#N/A</v>
      </c>
      <c r="AA766" s="64" t="e">
        <f t="shared" si="105"/>
        <v>#N/A</v>
      </c>
      <c r="AH766" s="64" t="e">
        <f t="shared" si="106"/>
        <v>#N/A</v>
      </c>
      <c r="AR766" s="64">
        <f>AS766*2207413/I766</f>
        <v>377.5679050355775</v>
      </c>
      <c r="AS766" s="64">
        <f t="shared" si="107"/>
        <v>1</v>
      </c>
    </row>
    <row r="767" spans="1:45" s="64" customFormat="1" ht="36" customHeight="1" x14ac:dyDescent="0.9">
      <c r="A767" s="64">
        <v>1</v>
      </c>
      <c r="B767" s="92">
        <f>SUBTOTAL(103,$A$548:A767)</f>
        <v>217</v>
      </c>
      <c r="C767" s="91" t="s">
        <v>1654</v>
      </c>
      <c r="D767" s="126">
        <v>1980</v>
      </c>
      <c r="E767" s="126"/>
      <c r="F767" s="145" t="s">
        <v>273</v>
      </c>
      <c r="G767" s="126">
        <v>5</v>
      </c>
      <c r="H767" s="126">
        <v>1</v>
      </c>
      <c r="I767" s="117">
        <v>2427.5</v>
      </c>
      <c r="J767" s="117">
        <v>2065.6999999999998</v>
      </c>
      <c r="K767" s="117">
        <f>J767-430.2</f>
        <v>1635.4999999999998</v>
      </c>
      <c r="L767" s="127">
        <v>58</v>
      </c>
      <c r="M767" s="126" t="s">
        <v>271</v>
      </c>
      <c r="N767" s="126" t="s">
        <v>272</v>
      </c>
      <c r="O767" s="124" t="s">
        <v>274</v>
      </c>
      <c r="P767" s="118">
        <v>3890000</v>
      </c>
      <c r="Q767" s="118">
        <v>0</v>
      </c>
      <c r="R767" s="118">
        <v>0</v>
      </c>
      <c r="S767" s="118">
        <f t="shared" si="110"/>
        <v>3890000</v>
      </c>
      <c r="T767" s="118">
        <f t="shared" si="108"/>
        <v>1602.4716786817714</v>
      </c>
      <c r="U767" s="118">
        <f>Y767</f>
        <v>1673.5573223480949</v>
      </c>
      <c r="V767" s="183">
        <f t="shared" si="103"/>
        <v>71.085643666323449</v>
      </c>
      <c r="W767" s="183"/>
      <c r="X767" s="183"/>
      <c r="Y767" s="64">
        <f t="shared" si="104"/>
        <v>1673.5573223480949</v>
      </c>
      <c r="AA767" s="64">
        <f t="shared" si="105"/>
        <v>778</v>
      </c>
      <c r="AH767" s="64" t="e">
        <f t="shared" si="106"/>
        <v>#N/A</v>
      </c>
      <c r="AS767" s="64" t="e">
        <f t="shared" si="107"/>
        <v>#N/A</v>
      </c>
    </row>
    <row r="768" spans="1:45" s="64" customFormat="1" ht="36" customHeight="1" x14ac:dyDescent="0.9">
      <c r="A768" s="64">
        <v>1</v>
      </c>
      <c r="B768" s="92">
        <f>SUBTOTAL(103,$A$548:A768)</f>
        <v>218</v>
      </c>
      <c r="C768" s="91" t="s">
        <v>807</v>
      </c>
      <c r="D768" s="126">
        <v>1961</v>
      </c>
      <c r="E768" s="126"/>
      <c r="F768" s="145" t="s">
        <v>273</v>
      </c>
      <c r="G768" s="126">
        <v>3</v>
      </c>
      <c r="H768" s="126">
        <v>2</v>
      </c>
      <c r="I768" s="117">
        <v>1044</v>
      </c>
      <c r="J768" s="117">
        <v>968.1</v>
      </c>
      <c r="K768" s="117">
        <v>968.1</v>
      </c>
      <c r="L768" s="127">
        <v>46</v>
      </c>
      <c r="M768" s="126" t="s">
        <v>271</v>
      </c>
      <c r="N768" s="126" t="s">
        <v>275</v>
      </c>
      <c r="O768" s="124" t="s">
        <v>826</v>
      </c>
      <c r="P768" s="118">
        <v>110000</v>
      </c>
      <c r="Q768" s="118">
        <v>0</v>
      </c>
      <c r="R768" s="118">
        <v>0</v>
      </c>
      <c r="S768" s="118">
        <f t="shared" si="110"/>
        <v>110000</v>
      </c>
      <c r="T768" s="118">
        <f t="shared" si="108"/>
        <v>105.3639846743295</v>
      </c>
      <c r="U768" s="118">
        <f t="shared" ref="U768:U778" si="111">T768</f>
        <v>105.3639846743295</v>
      </c>
      <c r="V768" s="183">
        <f t="shared" si="103"/>
        <v>0</v>
      </c>
      <c r="W768" s="183"/>
      <c r="X768" s="183"/>
      <c r="Y768" s="64">
        <f t="shared" si="104"/>
        <v>2530.8724137931035</v>
      </c>
      <c r="AA768" s="64">
        <f t="shared" si="105"/>
        <v>506</v>
      </c>
      <c r="AH768" s="64" t="e">
        <f t="shared" si="106"/>
        <v>#N/A</v>
      </c>
      <c r="AS768" s="64" t="e">
        <f t="shared" si="107"/>
        <v>#N/A</v>
      </c>
    </row>
    <row r="769" spans="1:45" s="64" customFormat="1" ht="36" customHeight="1" x14ac:dyDescent="0.9">
      <c r="A769" s="64">
        <v>1</v>
      </c>
      <c r="B769" s="92">
        <f>SUBTOTAL(103,$A$548:A769)</f>
        <v>219</v>
      </c>
      <c r="C769" s="91" t="s">
        <v>808</v>
      </c>
      <c r="D769" s="126">
        <v>1960</v>
      </c>
      <c r="E769" s="126"/>
      <c r="F769" s="145" t="s">
        <v>273</v>
      </c>
      <c r="G769" s="126">
        <v>2</v>
      </c>
      <c r="H769" s="126">
        <v>2</v>
      </c>
      <c r="I769" s="117">
        <v>711.5</v>
      </c>
      <c r="J769" s="117">
        <v>515.1</v>
      </c>
      <c r="K769" s="117">
        <v>515.1</v>
      </c>
      <c r="L769" s="127">
        <v>13</v>
      </c>
      <c r="M769" s="126" t="s">
        <v>271</v>
      </c>
      <c r="N769" s="126" t="s">
        <v>272</v>
      </c>
      <c r="O769" s="124" t="s">
        <v>274</v>
      </c>
      <c r="P769" s="118">
        <v>110000</v>
      </c>
      <c r="Q769" s="118">
        <v>0</v>
      </c>
      <c r="R769" s="118">
        <v>0</v>
      </c>
      <c r="S769" s="118">
        <f t="shared" si="110"/>
        <v>110000</v>
      </c>
      <c r="T769" s="118">
        <f t="shared" si="108"/>
        <v>154.60295151089247</v>
      </c>
      <c r="U769" s="118">
        <f t="shared" si="111"/>
        <v>154.60295151089247</v>
      </c>
      <c r="V769" s="183">
        <f t="shared" si="103"/>
        <v>0</v>
      </c>
      <c r="W769" s="183"/>
      <c r="X769" s="183"/>
      <c r="Y769" s="64">
        <f t="shared" si="104"/>
        <v>3508.1101897399858</v>
      </c>
      <c r="AA769" s="64">
        <f t="shared" si="105"/>
        <v>478</v>
      </c>
      <c r="AH769" s="64" t="e">
        <f t="shared" si="106"/>
        <v>#N/A</v>
      </c>
      <c r="AS769" s="64" t="e">
        <f t="shared" si="107"/>
        <v>#N/A</v>
      </c>
    </row>
    <row r="770" spans="1:45" s="64" customFormat="1" ht="36" customHeight="1" x14ac:dyDescent="0.9">
      <c r="A770" s="64">
        <v>1</v>
      </c>
      <c r="B770" s="92">
        <f>SUBTOTAL(103,$A$548:A770)</f>
        <v>220</v>
      </c>
      <c r="C770" s="91" t="s">
        <v>1106</v>
      </c>
      <c r="D770" s="126">
        <v>1962</v>
      </c>
      <c r="E770" s="126"/>
      <c r="F770" s="145" t="s">
        <v>273</v>
      </c>
      <c r="G770" s="126">
        <v>4</v>
      </c>
      <c r="H770" s="126">
        <v>2</v>
      </c>
      <c r="I770" s="117">
        <v>1321.3</v>
      </c>
      <c r="J770" s="117">
        <v>1280</v>
      </c>
      <c r="K770" s="117">
        <v>975</v>
      </c>
      <c r="L770" s="127">
        <v>60</v>
      </c>
      <c r="M770" s="126" t="s">
        <v>271</v>
      </c>
      <c r="N770" s="126" t="s">
        <v>275</v>
      </c>
      <c r="O770" s="124" t="s">
        <v>830</v>
      </c>
      <c r="P770" s="118">
        <v>110000</v>
      </c>
      <c r="Q770" s="118">
        <v>0</v>
      </c>
      <c r="R770" s="118">
        <v>0</v>
      </c>
      <c r="S770" s="118">
        <f t="shared" si="110"/>
        <v>110000</v>
      </c>
      <c r="T770" s="118">
        <f t="shared" si="108"/>
        <v>83.251343373949894</v>
      </c>
      <c r="U770" s="118">
        <f t="shared" si="111"/>
        <v>83.251343373949894</v>
      </c>
      <c r="V770" s="183">
        <f t="shared" si="103"/>
        <v>0</v>
      </c>
      <c r="W770" s="183"/>
      <c r="X770" s="183"/>
      <c r="Y770" s="64">
        <f t="shared" si="104"/>
        <v>2477.9146295315222</v>
      </c>
      <c r="AA770" s="64">
        <f t="shared" si="105"/>
        <v>627</v>
      </c>
      <c r="AH770" s="64" t="e">
        <f t="shared" si="106"/>
        <v>#N/A</v>
      </c>
      <c r="AS770" s="64" t="e">
        <f t="shared" si="107"/>
        <v>#N/A</v>
      </c>
    </row>
    <row r="771" spans="1:45" s="64" customFormat="1" ht="36" customHeight="1" x14ac:dyDescent="0.9">
      <c r="A771" s="64">
        <v>1</v>
      </c>
      <c r="B771" s="92">
        <f>SUBTOTAL(103,$A$548:A771)</f>
        <v>221</v>
      </c>
      <c r="C771" s="91" t="s">
        <v>810</v>
      </c>
      <c r="D771" s="126">
        <v>1991</v>
      </c>
      <c r="E771" s="126"/>
      <c r="F771" s="145" t="s">
        <v>326</v>
      </c>
      <c r="G771" s="126">
        <v>9</v>
      </c>
      <c r="H771" s="126">
        <v>4</v>
      </c>
      <c r="I771" s="117">
        <v>10990.1</v>
      </c>
      <c r="J771" s="117">
        <v>7793.3</v>
      </c>
      <c r="K771" s="117">
        <v>7793.3</v>
      </c>
      <c r="L771" s="127">
        <v>318</v>
      </c>
      <c r="M771" s="126" t="s">
        <v>271</v>
      </c>
      <c r="N771" s="126" t="s">
        <v>275</v>
      </c>
      <c r="O771" s="124" t="s">
        <v>832</v>
      </c>
      <c r="P771" s="118">
        <v>120000</v>
      </c>
      <c r="Q771" s="118">
        <v>0</v>
      </c>
      <c r="R771" s="118">
        <v>0</v>
      </c>
      <c r="S771" s="118">
        <f t="shared" si="110"/>
        <v>120000</v>
      </c>
      <c r="T771" s="118">
        <f t="shared" si="108"/>
        <v>10.918917935232619</v>
      </c>
      <c r="U771" s="118">
        <f t="shared" si="111"/>
        <v>10.918917935232619</v>
      </c>
      <c r="V771" s="183">
        <f t="shared" si="103"/>
        <v>0</v>
      </c>
      <c r="W771" s="183"/>
      <c r="X771" s="183"/>
      <c r="Y771" s="64" t="e">
        <f t="shared" si="104"/>
        <v>#N/A</v>
      </c>
      <c r="AA771" s="64" t="e">
        <f t="shared" si="105"/>
        <v>#N/A</v>
      </c>
      <c r="AH771" s="64" t="e">
        <f t="shared" si="106"/>
        <v>#N/A</v>
      </c>
      <c r="AR771" s="64">
        <f>AS771*2207413/I771</f>
        <v>803.41871320552127</v>
      </c>
      <c r="AS771" s="64">
        <f t="shared" si="107"/>
        <v>4</v>
      </c>
    </row>
    <row r="772" spans="1:45" s="64" customFormat="1" ht="36" customHeight="1" x14ac:dyDescent="0.9">
      <c r="A772" s="64">
        <v>1</v>
      </c>
      <c r="B772" s="92">
        <f>SUBTOTAL(103,$A$548:A772)</f>
        <v>222</v>
      </c>
      <c r="C772" s="91" t="s">
        <v>812</v>
      </c>
      <c r="D772" s="126">
        <v>1937</v>
      </c>
      <c r="E772" s="126"/>
      <c r="F772" s="145" t="s">
        <v>273</v>
      </c>
      <c r="G772" s="126">
        <v>3</v>
      </c>
      <c r="H772" s="126">
        <v>4</v>
      </c>
      <c r="I772" s="117">
        <v>2758</v>
      </c>
      <c r="J772" s="117">
        <v>1462.7</v>
      </c>
      <c r="K772" s="117">
        <v>1347.2</v>
      </c>
      <c r="L772" s="127">
        <v>62</v>
      </c>
      <c r="M772" s="126" t="s">
        <v>271</v>
      </c>
      <c r="N772" s="126" t="s">
        <v>275</v>
      </c>
      <c r="O772" s="124" t="s">
        <v>830</v>
      </c>
      <c r="P772" s="118">
        <v>140000</v>
      </c>
      <c r="Q772" s="118">
        <v>0</v>
      </c>
      <c r="R772" s="118">
        <v>0</v>
      </c>
      <c r="S772" s="118">
        <f t="shared" si="110"/>
        <v>140000</v>
      </c>
      <c r="T772" s="118">
        <f t="shared" si="108"/>
        <v>50.761421319796952</v>
      </c>
      <c r="U772" s="118">
        <f t="shared" si="111"/>
        <v>50.761421319796952</v>
      </c>
      <c r="V772" s="183">
        <f t="shared" si="103"/>
        <v>0</v>
      </c>
      <c r="W772" s="183"/>
      <c r="X772" s="183"/>
      <c r="Y772" s="64">
        <f t="shared" si="104"/>
        <v>2574.9267585206671</v>
      </c>
      <c r="AA772" s="64">
        <f t="shared" si="105"/>
        <v>1360</v>
      </c>
      <c r="AH772" s="64" t="e">
        <f t="shared" si="106"/>
        <v>#N/A</v>
      </c>
      <c r="AS772" s="64" t="e">
        <f t="shared" si="107"/>
        <v>#N/A</v>
      </c>
    </row>
    <row r="773" spans="1:45" s="64" customFormat="1" ht="36" customHeight="1" x14ac:dyDescent="0.9">
      <c r="A773" s="64">
        <v>1</v>
      </c>
      <c r="B773" s="92">
        <f>SUBTOTAL(103,$A$548:A773)</f>
        <v>223</v>
      </c>
      <c r="C773" s="91" t="s">
        <v>813</v>
      </c>
      <c r="D773" s="126">
        <v>1959</v>
      </c>
      <c r="E773" s="126"/>
      <c r="F773" s="145" t="s">
        <v>273</v>
      </c>
      <c r="G773" s="126">
        <v>4</v>
      </c>
      <c r="H773" s="126">
        <v>2</v>
      </c>
      <c r="I773" s="117">
        <v>1352</v>
      </c>
      <c r="J773" s="117">
        <v>809</v>
      </c>
      <c r="K773" s="117">
        <v>809</v>
      </c>
      <c r="L773" s="127">
        <v>67</v>
      </c>
      <c r="M773" s="126" t="s">
        <v>271</v>
      </c>
      <c r="N773" s="126" t="s">
        <v>275</v>
      </c>
      <c r="O773" s="124" t="s">
        <v>830</v>
      </c>
      <c r="P773" s="118">
        <v>110000</v>
      </c>
      <c r="Q773" s="118">
        <v>0</v>
      </c>
      <c r="R773" s="118">
        <v>0</v>
      </c>
      <c r="S773" s="118">
        <f t="shared" si="110"/>
        <v>110000</v>
      </c>
      <c r="T773" s="118">
        <f t="shared" si="108"/>
        <v>81.360946745562131</v>
      </c>
      <c r="U773" s="118">
        <f t="shared" si="111"/>
        <v>81.360946745562131</v>
      </c>
      <c r="V773" s="183">
        <f t="shared" si="103"/>
        <v>0</v>
      </c>
      <c r="W773" s="183"/>
      <c r="X773" s="183"/>
      <c r="Y773" s="64">
        <f t="shared" si="104"/>
        <v>2506.6184911242603</v>
      </c>
      <c r="AA773" s="64">
        <f t="shared" si="105"/>
        <v>649</v>
      </c>
      <c r="AH773" s="64" t="e">
        <f t="shared" si="106"/>
        <v>#N/A</v>
      </c>
      <c r="AS773" s="64" t="e">
        <f t="shared" si="107"/>
        <v>#N/A</v>
      </c>
    </row>
    <row r="774" spans="1:45" s="64" customFormat="1" ht="36" customHeight="1" x14ac:dyDescent="0.9">
      <c r="A774" s="64">
        <v>1</v>
      </c>
      <c r="B774" s="92">
        <f>SUBTOTAL(103,$A$548:A774)</f>
        <v>224</v>
      </c>
      <c r="C774" s="91" t="s">
        <v>814</v>
      </c>
      <c r="D774" s="126">
        <v>1965</v>
      </c>
      <c r="E774" s="126"/>
      <c r="F774" s="145" t="s">
        <v>273</v>
      </c>
      <c r="G774" s="126">
        <v>5</v>
      </c>
      <c r="H774" s="126">
        <v>2</v>
      </c>
      <c r="I774" s="117">
        <v>2042.45</v>
      </c>
      <c r="J774" s="117">
        <v>1565</v>
      </c>
      <c r="K774" s="117">
        <v>1565</v>
      </c>
      <c r="L774" s="127">
        <v>65</v>
      </c>
      <c r="M774" s="126" t="s">
        <v>271</v>
      </c>
      <c r="N774" s="126" t="s">
        <v>275</v>
      </c>
      <c r="O774" s="124" t="s">
        <v>828</v>
      </c>
      <c r="P774" s="118">
        <v>110000</v>
      </c>
      <c r="Q774" s="118">
        <v>0</v>
      </c>
      <c r="R774" s="118">
        <v>0</v>
      </c>
      <c r="S774" s="118">
        <f t="shared" si="110"/>
        <v>110000</v>
      </c>
      <c r="T774" s="118">
        <f t="shared" si="108"/>
        <v>53.856887561507016</v>
      </c>
      <c r="U774" s="118">
        <f t="shared" si="111"/>
        <v>53.856887561507016</v>
      </c>
      <c r="V774" s="183">
        <f t="shared" si="103"/>
        <v>0</v>
      </c>
      <c r="W774" s="183"/>
      <c r="X774" s="183"/>
      <c r="Y774" s="64">
        <f t="shared" si="104"/>
        <v>1687.3793728120638</v>
      </c>
      <c r="AA774" s="64">
        <f t="shared" si="105"/>
        <v>660</v>
      </c>
      <c r="AH774" s="64" t="e">
        <f t="shared" si="106"/>
        <v>#N/A</v>
      </c>
      <c r="AS774" s="64" t="e">
        <f t="shared" si="107"/>
        <v>#N/A</v>
      </c>
    </row>
    <row r="775" spans="1:45" s="64" customFormat="1" ht="36" customHeight="1" x14ac:dyDescent="0.9">
      <c r="A775" s="64">
        <v>1</v>
      </c>
      <c r="B775" s="92">
        <f>SUBTOTAL(103,$A$548:A775)</f>
        <v>225</v>
      </c>
      <c r="C775" s="91" t="s">
        <v>815</v>
      </c>
      <c r="D775" s="126">
        <v>1955</v>
      </c>
      <c r="E775" s="126"/>
      <c r="F775" s="145" t="s">
        <v>344</v>
      </c>
      <c r="G775" s="126">
        <v>2</v>
      </c>
      <c r="H775" s="126">
        <v>2</v>
      </c>
      <c r="I775" s="117">
        <v>685.7</v>
      </c>
      <c r="J775" s="117">
        <v>629.20000000000005</v>
      </c>
      <c r="K775" s="117">
        <v>629.20000000000005</v>
      </c>
      <c r="L775" s="127">
        <v>28</v>
      </c>
      <c r="M775" s="126" t="s">
        <v>271</v>
      </c>
      <c r="N775" s="126" t="s">
        <v>272</v>
      </c>
      <c r="O775" s="124" t="s">
        <v>274</v>
      </c>
      <c r="P775" s="118">
        <v>130000</v>
      </c>
      <c r="Q775" s="118">
        <v>0</v>
      </c>
      <c r="R775" s="118">
        <v>0</v>
      </c>
      <c r="S775" s="118">
        <f t="shared" si="110"/>
        <v>130000</v>
      </c>
      <c r="T775" s="118">
        <f t="shared" si="108"/>
        <v>189.58728306839726</v>
      </c>
      <c r="U775" s="118">
        <f t="shared" si="111"/>
        <v>189.58728306839726</v>
      </c>
      <c r="V775" s="183">
        <f t="shared" si="103"/>
        <v>0</v>
      </c>
      <c r="W775" s="183"/>
      <c r="X775" s="183"/>
      <c r="Y775" s="64" t="e">
        <f t="shared" si="104"/>
        <v>#N/A</v>
      </c>
      <c r="AA775" s="64" t="e">
        <f t="shared" si="105"/>
        <v>#N/A</v>
      </c>
      <c r="AG775" s="64">
        <f>AH775*6191.24/J775</f>
        <v>6159.7524475524469</v>
      </c>
      <c r="AH775" s="64">
        <f t="shared" si="106"/>
        <v>626</v>
      </c>
      <c r="AS775" s="64" t="e">
        <f t="shared" si="107"/>
        <v>#N/A</v>
      </c>
    </row>
    <row r="776" spans="1:45" s="64" customFormat="1" ht="36" customHeight="1" x14ac:dyDescent="0.9">
      <c r="A776" s="64">
        <v>1</v>
      </c>
      <c r="B776" s="92">
        <f>SUBTOTAL(103,$A$548:A776)</f>
        <v>226</v>
      </c>
      <c r="C776" s="91" t="s">
        <v>816</v>
      </c>
      <c r="D776" s="126">
        <v>1975</v>
      </c>
      <c r="E776" s="126"/>
      <c r="F776" s="145" t="s">
        <v>273</v>
      </c>
      <c r="G776" s="126">
        <v>5</v>
      </c>
      <c r="H776" s="126">
        <v>6</v>
      </c>
      <c r="I776" s="117">
        <v>6824.86</v>
      </c>
      <c r="J776" s="117">
        <v>4475.3</v>
      </c>
      <c r="K776" s="117">
        <v>4306.8999999999996</v>
      </c>
      <c r="L776" s="127">
        <v>160</v>
      </c>
      <c r="M776" s="126" t="s">
        <v>271</v>
      </c>
      <c r="N776" s="126" t="s">
        <v>275</v>
      </c>
      <c r="O776" s="124" t="s">
        <v>835</v>
      </c>
      <c r="P776" s="118">
        <v>200000</v>
      </c>
      <c r="Q776" s="118">
        <v>0</v>
      </c>
      <c r="R776" s="118">
        <v>0</v>
      </c>
      <c r="S776" s="118">
        <f t="shared" si="110"/>
        <v>200000</v>
      </c>
      <c r="T776" s="118">
        <f t="shared" si="108"/>
        <v>29.3046304246534</v>
      </c>
      <c r="U776" s="118">
        <f t="shared" si="111"/>
        <v>29.3046304246534</v>
      </c>
      <c r="V776" s="183">
        <f t="shared" si="103"/>
        <v>0</v>
      </c>
      <c r="W776" s="183"/>
      <c r="X776" s="183"/>
      <c r="Y776" s="64">
        <f t="shared" si="104"/>
        <v>1566.5721348130219</v>
      </c>
      <c r="AA776" s="64">
        <f t="shared" si="105"/>
        <v>2047.5</v>
      </c>
      <c r="AH776" s="64" t="e">
        <f t="shared" si="106"/>
        <v>#N/A</v>
      </c>
      <c r="AS776" s="64" t="e">
        <f t="shared" si="107"/>
        <v>#N/A</v>
      </c>
    </row>
    <row r="777" spans="1:45" s="64" customFormat="1" ht="36" customHeight="1" x14ac:dyDescent="0.9">
      <c r="A777" s="64">
        <v>1</v>
      </c>
      <c r="B777" s="92">
        <f>SUBTOTAL(103,$A$548:A777)</f>
        <v>227</v>
      </c>
      <c r="C777" s="91" t="s">
        <v>838</v>
      </c>
      <c r="D777" s="126">
        <v>1959</v>
      </c>
      <c r="E777" s="126"/>
      <c r="F777" s="145" t="s">
        <v>273</v>
      </c>
      <c r="G777" s="126">
        <v>2</v>
      </c>
      <c r="H777" s="126">
        <v>1</v>
      </c>
      <c r="I777" s="117">
        <v>309.2</v>
      </c>
      <c r="J777" s="117">
        <v>287.5</v>
      </c>
      <c r="K777" s="117">
        <v>287.5</v>
      </c>
      <c r="L777" s="127">
        <v>14</v>
      </c>
      <c r="M777" s="126" t="s">
        <v>271</v>
      </c>
      <c r="N777" s="126" t="s">
        <v>275</v>
      </c>
      <c r="O777" s="124" t="s">
        <v>1014</v>
      </c>
      <c r="P777" s="118">
        <v>80000</v>
      </c>
      <c r="Q777" s="118">
        <v>0</v>
      </c>
      <c r="R777" s="118">
        <v>0</v>
      </c>
      <c r="S777" s="118">
        <f t="shared" si="110"/>
        <v>80000</v>
      </c>
      <c r="T777" s="118">
        <f t="shared" si="108"/>
        <v>258.73221216041401</v>
      </c>
      <c r="U777" s="118">
        <f t="shared" si="111"/>
        <v>258.73221216041401</v>
      </c>
      <c r="V777" s="183">
        <f t="shared" si="103"/>
        <v>0</v>
      </c>
      <c r="W777" s="183"/>
      <c r="X777" s="183"/>
      <c r="Y777" s="64" t="e">
        <f t="shared" si="104"/>
        <v>#N/A</v>
      </c>
      <c r="AA777" s="64" t="e">
        <f t="shared" si="105"/>
        <v>#N/A</v>
      </c>
      <c r="AG777" s="64">
        <f>AH777*6191.24/J777</f>
        <v>7752.5092173913044</v>
      </c>
      <c r="AH777" s="64">
        <f t="shared" si="106"/>
        <v>360</v>
      </c>
      <c r="AS777" s="64" t="e">
        <f t="shared" si="107"/>
        <v>#N/A</v>
      </c>
    </row>
    <row r="778" spans="1:45" s="64" customFormat="1" ht="36" customHeight="1" x14ac:dyDescent="0.9">
      <c r="A778" s="64">
        <v>1</v>
      </c>
      <c r="B778" s="92">
        <f>SUBTOTAL(103,$A$548:A778)</f>
        <v>228</v>
      </c>
      <c r="C778" s="91" t="s">
        <v>1655</v>
      </c>
      <c r="D778" s="126">
        <v>1958</v>
      </c>
      <c r="E778" s="126"/>
      <c r="F778" s="145" t="s">
        <v>273</v>
      </c>
      <c r="G778" s="126">
        <v>2</v>
      </c>
      <c r="H778" s="126">
        <v>2</v>
      </c>
      <c r="I778" s="117">
        <v>445.5</v>
      </c>
      <c r="J778" s="117">
        <v>297.3</v>
      </c>
      <c r="K778" s="117">
        <v>297.3</v>
      </c>
      <c r="L778" s="127">
        <v>17</v>
      </c>
      <c r="M778" s="126" t="s">
        <v>271</v>
      </c>
      <c r="N778" s="126" t="s">
        <v>272</v>
      </c>
      <c r="O778" s="124" t="s">
        <v>274</v>
      </c>
      <c r="P778" s="118">
        <v>100000</v>
      </c>
      <c r="Q778" s="118">
        <v>0</v>
      </c>
      <c r="R778" s="118">
        <v>0</v>
      </c>
      <c r="S778" s="118">
        <f t="shared" si="110"/>
        <v>100000</v>
      </c>
      <c r="T778" s="118">
        <f t="shared" si="108"/>
        <v>224.46689113355779</v>
      </c>
      <c r="U778" s="118">
        <f t="shared" si="111"/>
        <v>224.46689113355779</v>
      </c>
      <c r="V778" s="183">
        <f t="shared" si="103"/>
        <v>0</v>
      </c>
      <c r="W778" s="183"/>
      <c r="X778" s="183"/>
      <c r="Y778" s="64">
        <f t="shared" si="104"/>
        <v>4454.060606060606</v>
      </c>
      <c r="AA778" s="64">
        <f t="shared" si="105"/>
        <v>380</v>
      </c>
      <c r="AH778" s="64" t="e">
        <f t="shared" si="106"/>
        <v>#N/A</v>
      </c>
      <c r="AS778" s="64" t="e">
        <f t="shared" si="107"/>
        <v>#N/A</v>
      </c>
    </row>
    <row r="779" spans="1:45" s="64" customFormat="1" ht="36" customHeight="1" x14ac:dyDescent="0.9">
      <c r="B779" s="91" t="s">
        <v>783</v>
      </c>
      <c r="C779" s="172"/>
      <c r="D779" s="126" t="s">
        <v>916</v>
      </c>
      <c r="E779" s="126" t="s">
        <v>916</v>
      </c>
      <c r="F779" s="126" t="s">
        <v>916</v>
      </c>
      <c r="G779" s="126" t="s">
        <v>916</v>
      </c>
      <c r="H779" s="126" t="s">
        <v>916</v>
      </c>
      <c r="I779" s="117">
        <f>SUM(I780:I782)</f>
        <v>16386.399999999998</v>
      </c>
      <c r="J779" s="117">
        <f>SUM(J780:J782)</f>
        <v>14502.1</v>
      </c>
      <c r="K779" s="117">
        <f>SUM(K780:K782)</f>
        <v>14144.900000000001</v>
      </c>
      <c r="L779" s="127">
        <f>SUM(L780:L782)</f>
        <v>704</v>
      </c>
      <c r="M779" s="126" t="s">
        <v>916</v>
      </c>
      <c r="N779" s="126" t="s">
        <v>916</v>
      </c>
      <c r="O779" s="124" t="s">
        <v>916</v>
      </c>
      <c r="P779" s="117">
        <v>21856214.649999999</v>
      </c>
      <c r="Q779" s="117">
        <f>SUM(Q780:Q782)</f>
        <v>0</v>
      </c>
      <c r="R779" s="117">
        <f>SUM(R780:R782)</f>
        <v>0</v>
      </c>
      <c r="S779" s="117">
        <f>SUM(S780:S782)</f>
        <v>21856214.649999999</v>
      </c>
      <c r="T779" s="118">
        <f t="shared" si="108"/>
        <v>1333.8020950300249</v>
      </c>
      <c r="U779" s="118">
        <f>MAX(U780:U782)</f>
        <v>4564.1484437036816</v>
      </c>
      <c r="V779" s="183">
        <f t="shared" si="103"/>
        <v>3230.3463486736564</v>
      </c>
      <c r="W779" s="183"/>
      <c r="X779" s="183"/>
      <c r="Y779" s="64" t="e">
        <f t="shared" si="104"/>
        <v>#N/A</v>
      </c>
      <c r="AA779" s="64" t="e">
        <f t="shared" si="105"/>
        <v>#N/A</v>
      </c>
      <c r="AH779" s="64" t="e">
        <f t="shared" si="106"/>
        <v>#N/A</v>
      </c>
      <c r="AS779" s="64" t="e">
        <f t="shared" si="107"/>
        <v>#N/A</v>
      </c>
    </row>
    <row r="780" spans="1:45" s="64" customFormat="1" ht="36" customHeight="1" x14ac:dyDescent="0.9">
      <c r="A780" s="64">
        <v>1</v>
      </c>
      <c r="B780" s="92">
        <f>SUBTOTAL(103,$A$548:A780)</f>
        <v>229</v>
      </c>
      <c r="C780" s="91" t="s">
        <v>392</v>
      </c>
      <c r="D780" s="126">
        <v>1982</v>
      </c>
      <c r="E780" s="126">
        <v>2015</v>
      </c>
      <c r="F780" s="145" t="s">
        <v>326</v>
      </c>
      <c r="G780" s="126">
        <v>9</v>
      </c>
      <c r="H780" s="126">
        <v>4</v>
      </c>
      <c r="I780" s="117">
        <v>8597</v>
      </c>
      <c r="J780" s="117">
        <v>7716.1</v>
      </c>
      <c r="K780" s="117">
        <v>7419.5</v>
      </c>
      <c r="L780" s="127">
        <v>358</v>
      </c>
      <c r="M780" s="126" t="s">
        <v>271</v>
      </c>
      <c r="N780" s="126" t="s">
        <v>275</v>
      </c>
      <c r="O780" s="124" t="s">
        <v>327</v>
      </c>
      <c r="P780" s="118">
        <v>8993212</v>
      </c>
      <c r="Q780" s="118">
        <v>0</v>
      </c>
      <c r="R780" s="118">
        <v>0</v>
      </c>
      <c r="S780" s="118">
        <f>P780-Q780-R780</f>
        <v>8993212</v>
      </c>
      <c r="T780" s="118">
        <f t="shared" si="108"/>
        <v>1046.0872397347912</v>
      </c>
      <c r="U780" s="118">
        <f>T780</f>
        <v>1046.0872397347912</v>
      </c>
      <c r="V780" s="183">
        <f t="shared" si="103"/>
        <v>0</v>
      </c>
      <c r="W780" s="183"/>
      <c r="X780" s="183"/>
      <c r="Y780" s="64" t="e">
        <f t="shared" si="104"/>
        <v>#N/A</v>
      </c>
      <c r="AA780" s="64" t="e">
        <f t="shared" si="105"/>
        <v>#N/A</v>
      </c>
      <c r="AH780" s="64" t="e">
        <f t="shared" si="106"/>
        <v>#N/A</v>
      </c>
      <c r="AR780" s="64">
        <f>AS780*2207413/I780</f>
        <v>1027.0619983715249</v>
      </c>
      <c r="AS780" s="64">
        <f t="shared" si="107"/>
        <v>4</v>
      </c>
    </row>
    <row r="781" spans="1:45" s="64" customFormat="1" ht="36" customHeight="1" x14ac:dyDescent="0.9">
      <c r="A781" s="64">
        <v>1</v>
      </c>
      <c r="B781" s="92">
        <f>SUBTOTAL(103,$A$548:A781)</f>
        <v>230</v>
      </c>
      <c r="C781" s="91" t="s">
        <v>1708</v>
      </c>
      <c r="D781" s="126">
        <v>1981</v>
      </c>
      <c r="E781" s="126">
        <v>2015</v>
      </c>
      <c r="F781" s="145" t="s">
        <v>326</v>
      </c>
      <c r="G781" s="126">
        <v>5</v>
      </c>
      <c r="H781" s="126">
        <v>5</v>
      </c>
      <c r="I781" s="117">
        <v>3967.3</v>
      </c>
      <c r="J781" s="117">
        <v>3426.1</v>
      </c>
      <c r="K781" s="117">
        <f>J781</f>
        <v>3426.1</v>
      </c>
      <c r="L781" s="127">
        <v>178</v>
      </c>
      <c r="M781" s="126" t="s">
        <v>271</v>
      </c>
      <c r="N781" s="126" t="s">
        <v>275</v>
      </c>
      <c r="O781" s="124" t="s">
        <v>328</v>
      </c>
      <c r="P781" s="118">
        <v>7201018.8100000005</v>
      </c>
      <c r="Q781" s="118">
        <v>0</v>
      </c>
      <c r="R781" s="118">
        <v>0</v>
      </c>
      <c r="S781" s="118">
        <f>P781-Q781-R781</f>
        <v>7201018.8100000005</v>
      </c>
      <c r="T781" s="118">
        <f t="shared" si="108"/>
        <v>1815.093088498475</v>
      </c>
      <c r="U781" s="118">
        <v>3929.63</v>
      </c>
      <c r="V781" s="183">
        <f t="shared" si="103"/>
        <v>2114.5369115015251</v>
      </c>
      <c r="W781" s="183"/>
      <c r="X781" s="183"/>
      <c r="Y781" s="64" t="e">
        <f t="shared" si="104"/>
        <v>#N/A</v>
      </c>
      <c r="AA781" s="64" t="e">
        <f t="shared" si="105"/>
        <v>#N/A</v>
      </c>
      <c r="AH781" s="64" t="e">
        <f t="shared" si="106"/>
        <v>#N/A</v>
      </c>
      <c r="AS781" s="64" t="e">
        <f t="shared" si="107"/>
        <v>#N/A</v>
      </c>
    </row>
    <row r="782" spans="1:45" s="64" customFormat="1" ht="36" customHeight="1" x14ac:dyDescent="0.9">
      <c r="A782" s="64">
        <v>1</v>
      </c>
      <c r="B782" s="92">
        <f>SUBTOTAL(103,$A$548:A782)</f>
        <v>231</v>
      </c>
      <c r="C782" s="91" t="s">
        <v>393</v>
      </c>
      <c r="D782" s="126">
        <v>1973</v>
      </c>
      <c r="E782" s="126">
        <v>2017</v>
      </c>
      <c r="F782" s="145" t="s">
        <v>326</v>
      </c>
      <c r="G782" s="126">
        <v>5</v>
      </c>
      <c r="H782" s="126">
        <v>5</v>
      </c>
      <c r="I782" s="117">
        <v>3822.1</v>
      </c>
      <c r="J782" s="117">
        <v>3359.9</v>
      </c>
      <c r="K782" s="117">
        <v>3299.3</v>
      </c>
      <c r="L782" s="127">
        <v>168</v>
      </c>
      <c r="M782" s="126" t="s">
        <v>271</v>
      </c>
      <c r="N782" s="126" t="s">
        <v>275</v>
      </c>
      <c r="O782" s="124" t="s">
        <v>328</v>
      </c>
      <c r="P782" s="118">
        <v>5661983.8399999999</v>
      </c>
      <c r="Q782" s="118">
        <v>0</v>
      </c>
      <c r="R782" s="118">
        <v>0</v>
      </c>
      <c r="S782" s="118">
        <f>P782-Q782-R782</f>
        <v>5661983.8399999999</v>
      </c>
      <c r="T782" s="118">
        <f t="shared" si="108"/>
        <v>1481.3803511158787</v>
      </c>
      <c r="U782" s="118">
        <f>AG782</f>
        <v>4564.1484437036816</v>
      </c>
      <c r="V782" s="183">
        <f t="shared" si="103"/>
        <v>3082.768092587803</v>
      </c>
      <c r="W782" s="183"/>
      <c r="X782" s="183"/>
      <c r="Y782" s="64" t="e">
        <f t="shared" si="104"/>
        <v>#N/A</v>
      </c>
      <c r="AA782" s="64" t="e">
        <f t="shared" si="105"/>
        <v>#N/A</v>
      </c>
      <c r="AG782" s="64">
        <f>AH782*6191.24/J782</f>
        <v>4564.1484437036816</v>
      </c>
      <c r="AH782" s="64">
        <f t="shared" si="106"/>
        <v>2476.9</v>
      </c>
      <c r="AS782" s="64" t="e">
        <f t="shared" si="107"/>
        <v>#N/A</v>
      </c>
    </row>
    <row r="783" spans="1:45" s="64" customFormat="1" ht="36" customHeight="1" x14ac:dyDescent="0.9">
      <c r="B783" s="91" t="s">
        <v>840</v>
      </c>
      <c r="C783" s="172"/>
      <c r="D783" s="126" t="s">
        <v>916</v>
      </c>
      <c r="E783" s="126" t="s">
        <v>916</v>
      </c>
      <c r="F783" s="126" t="s">
        <v>916</v>
      </c>
      <c r="G783" s="126" t="s">
        <v>916</v>
      </c>
      <c r="H783" s="126" t="s">
        <v>916</v>
      </c>
      <c r="I783" s="117">
        <f>SUM(I784:I800)</f>
        <v>36192.549999999996</v>
      </c>
      <c r="J783" s="117">
        <f>SUM(J784:J800)</f>
        <v>19280.66</v>
      </c>
      <c r="K783" s="117">
        <f>SUM(K784:K800)</f>
        <v>19050.760000000002</v>
      </c>
      <c r="L783" s="127">
        <f>SUM(L784:L800)</f>
        <v>1309</v>
      </c>
      <c r="M783" s="126" t="s">
        <v>916</v>
      </c>
      <c r="N783" s="126" t="s">
        <v>916</v>
      </c>
      <c r="O783" s="124" t="s">
        <v>916</v>
      </c>
      <c r="P783" s="117">
        <v>65732746.93</v>
      </c>
      <c r="Q783" s="117">
        <f>SUM(Q784:Q800)</f>
        <v>0</v>
      </c>
      <c r="R783" s="117">
        <f>SUM(R784:R800)</f>
        <v>0</v>
      </c>
      <c r="S783" s="117">
        <f>SUM(S784:S800)</f>
        <v>65732746.93</v>
      </c>
      <c r="T783" s="118">
        <f t="shared" si="108"/>
        <v>1816.1955134413024</v>
      </c>
      <c r="U783" s="118">
        <f>MAX(U784:U796)</f>
        <v>7988.1619204518711</v>
      </c>
      <c r="V783" s="183">
        <f t="shared" si="103"/>
        <v>6171.9664070105682</v>
      </c>
      <c r="W783" s="183"/>
      <c r="X783" s="183"/>
      <c r="Y783" s="64" t="e">
        <f t="shared" si="104"/>
        <v>#N/A</v>
      </c>
      <c r="AA783" s="64" t="e">
        <f t="shared" si="105"/>
        <v>#N/A</v>
      </c>
      <c r="AH783" s="64" t="e">
        <f t="shared" si="106"/>
        <v>#N/A</v>
      </c>
      <c r="AS783" s="64" t="e">
        <f t="shared" si="107"/>
        <v>#N/A</v>
      </c>
    </row>
    <row r="784" spans="1:45" s="64" customFormat="1" ht="36" customHeight="1" x14ac:dyDescent="0.9">
      <c r="A784" s="64">
        <v>1</v>
      </c>
      <c r="B784" s="92">
        <f>SUBTOTAL(103,$A$548:A784)</f>
        <v>232</v>
      </c>
      <c r="C784" s="91" t="s">
        <v>630</v>
      </c>
      <c r="D784" s="126">
        <v>1965</v>
      </c>
      <c r="E784" s="126"/>
      <c r="F784" s="145" t="s">
        <v>273</v>
      </c>
      <c r="G784" s="126">
        <v>5</v>
      </c>
      <c r="H784" s="126">
        <v>4</v>
      </c>
      <c r="I784" s="117">
        <v>4109.6000000000004</v>
      </c>
      <c r="J784" s="117">
        <v>3177</v>
      </c>
      <c r="K784" s="117">
        <v>3176.6</v>
      </c>
      <c r="L784" s="127">
        <v>137</v>
      </c>
      <c r="M784" s="126" t="s">
        <v>271</v>
      </c>
      <c r="N784" s="126" t="s">
        <v>275</v>
      </c>
      <c r="O784" s="124" t="s">
        <v>1110</v>
      </c>
      <c r="P784" s="118">
        <v>4335833</v>
      </c>
      <c r="Q784" s="118">
        <v>0</v>
      </c>
      <c r="R784" s="118">
        <v>0</v>
      </c>
      <c r="S784" s="118">
        <f t="shared" ref="S784:S795" si="112">P784-Q784-R784</f>
        <v>4335833</v>
      </c>
      <c r="T784" s="118">
        <f t="shared" si="108"/>
        <v>1055.0498832003113</v>
      </c>
      <c r="U784" s="118">
        <f>T784</f>
        <v>1055.0498832003113</v>
      </c>
      <c r="V784" s="183">
        <f t="shared" si="103"/>
        <v>0</v>
      </c>
      <c r="W784" s="183"/>
      <c r="X784" s="183"/>
      <c r="Y784" s="64">
        <f t="shared" si="104"/>
        <v>982.20055479852056</v>
      </c>
      <c r="AA784" s="64">
        <f t="shared" si="105"/>
        <v>773</v>
      </c>
      <c r="AH784" s="64" t="e">
        <f t="shared" si="106"/>
        <v>#N/A</v>
      </c>
      <c r="AS784" s="64" t="e">
        <f t="shared" si="107"/>
        <v>#N/A</v>
      </c>
    </row>
    <row r="785" spans="1:45" s="64" customFormat="1" ht="36" customHeight="1" x14ac:dyDescent="0.9">
      <c r="A785" s="64">
        <v>1</v>
      </c>
      <c r="B785" s="92">
        <f>SUBTOTAL(103,$A$548:A785)</f>
        <v>233</v>
      </c>
      <c r="C785" s="91" t="s">
        <v>631</v>
      </c>
      <c r="D785" s="126">
        <v>1987</v>
      </c>
      <c r="E785" s="126"/>
      <c r="F785" s="145" t="s">
        <v>273</v>
      </c>
      <c r="G785" s="126">
        <v>10</v>
      </c>
      <c r="H785" s="126">
        <v>1</v>
      </c>
      <c r="I785" s="117">
        <v>4233.46</v>
      </c>
      <c r="J785" s="117">
        <v>1997.7</v>
      </c>
      <c r="K785" s="117">
        <v>1997.7</v>
      </c>
      <c r="L785" s="127">
        <v>156</v>
      </c>
      <c r="M785" s="126" t="s">
        <v>271</v>
      </c>
      <c r="N785" s="126" t="s">
        <v>275</v>
      </c>
      <c r="O785" s="124" t="s">
        <v>730</v>
      </c>
      <c r="P785" s="118">
        <v>5909484.1499999994</v>
      </c>
      <c r="Q785" s="118">
        <v>0</v>
      </c>
      <c r="R785" s="118">
        <v>0</v>
      </c>
      <c r="S785" s="118">
        <f t="shared" si="112"/>
        <v>5909484.1499999994</v>
      </c>
      <c r="T785" s="118">
        <f t="shared" si="108"/>
        <v>1395.8993707274899</v>
      </c>
      <c r="U785" s="118">
        <f>T785</f>
        <v>1395.8993707274899</v>
      </c>
      <c r="V785" s="183">
        <f t="shared" ref="V785:V848" si="113">U785-T785</f>
        <v>0</v>
      </c>
      <c r="W785" s="183"/>
      <c r="X785" s="183"/>
      <c r="Y785" s="64">
        <f t="shared" ref="Y785:Y848" si="114">AA785*5221.8/I785</f>
        <v>1295.1321141572141</v>
      </c>
      <c r="AA785" s="64">
        <f t="shared" ref="AA785:AA848" si="115">VLOOKUP(C785,AC:AE,2,FALSE)</f>
        <v>1050</v>
      </c>
      <c r="AH785" s="64" t="e">
        <f t="shared" ref="AH785:AH848" si="116">VLOOKUP(C785,AJ:AK,2,FALSE)</f>
        <v>#N/A</v>
      </c>
      <c r="AS785" s="64" t="e">
        <f t="shared" ref="AS785:AS848" si="117">VLOOKUP(C785,AU:AV,2,FALSE)</f>
        <v>#N/A</v>
      </c>
    </row>
    <row r="786" spans="1:45" s="64" customFormat="1" ht="36" customHeight="1" x14ac:dyDescent="0.9">
      <c r="A786" s="64">
        <v>1</v>
      </c>
      <c r="B786" s="92">
        <f>SUBTOTAL(103,$A$548:A786)</f>
        <v>234</v>
      </c>
      <c r="C786" s="91" t="s">
        <v>632</v>
      </c>
      <c r="D786" s="126">
        <v>1984</v>
      </c>
      <c r="E786" s="126"/>
      <c r="F786" s="145" t="s">
        <v>273</v>
      </c>
      <c r="G786" s="126">
        <v>2</v>
      </c>
      <c r="H786" s="126">
        <v>1</v>
      </c>
      <c r="I786" s="117">
        <v>3054.2</v>
      </c>
      <c r="J786" s="117">
        <v>560.29999999999995</v>
      </c>
      <c r="K786" s="117">
        <v>560.29999999999995</v>
      </c>
      <c r="L786" s="127">
        <v>31</v>
      </c>
      <c r="M786" s="126" t="s">
        <v>271</v>
      </c>
      <c r="N786" s="126" t="s">
        <v>275</v>
      </c>
      <c r="O786" s="124" t="s">
        <v>730</v>
      </c>
      <c r="P786" s="118">
        <v>4721220</v>
      </c>
      <c r="Q786" s="118">
        <v>0</v>
      </c>
      <c r="R786" s="118">
        <v>0</v>
      </c>
      <c r="S786" s="118">
        <f t="shared" si="112"/>
        <v>4721220</v>
      </c>
      <c r="T786" s="118">
        <f t="shared" si="108"/>
        <v>1545.8123240128348</v>
      </c>
      <c r="U786" s="118">
        <f t="shared" ref="U786:U792" si="118">Y786</f>
        <v>1615.6771003863532</v>
      </c>
      <c r="V786" s="183">
        <f t="shared" si="113"/>
        <v>69.864776373518453</v>
      </c>
      <c r="W786" s="183"/>
      <c r="X786" s="183"/>
      <c r="Y786" s="64">
        <f t="shared" si="114"/>
        <v>1615.6771003863532</v>
      </c>
      <c r="AA786" s="64">
        <f t="shared" si="115"/>
        <v>945</v>
      </c>
      <c r="AH786" s="64" t="e">
        <f t="shared" si="116"/>
        <v>#N/A</v>
      </c>
      <c r="AS786" s="64" t="e">
        <f t="shared" si="117"/>
        <v>#N/A</v>
      </c>
    </row>
    <row r="787" spans="1:45" s="64" customFormat="1" ht="36" customHeight="1" x14ac:dyDescent="0.9">
      <c r="A787" s="64">
        <v>1</v>
      </c>
      <c r="B787" s="92">
        <f>SUBTOTAL(103,$A$548:A787)</f>
        <v>235</v>
      </c>
      <c r="C787" s="91" t="s">
        <v>637</v>
      </c>
      <c r="D787" s="126">
        <v>1955</v>
      </c>
      <c r="E787" s="126"/>
      <c r="F787" s="145" t="s">
        <v>273</v>
      </c>
      <c r="G787" s="126">
        <v>2</v>
      </c>
      <c r="H787" s="126">
        <v>1</v>
      </c>
      <c r="I787" s="117">
        <v>424.9</v>
      </c>
      <c r="J787" s="117">
        <v>377.6</v>
      </c>
      <c r="K787" s="117">
        <v>377.6</v>
      </c>
      <c r="L787" s="127">
        <v>21</v>
      </c>
      <c r="M787" s="126" t="s">
        <v>271</v>
      </c>
      <c r="N787" s="126" t="s">
        <v>272</v>
      </c>
      <c r="O787" s="124" t="s">
        <v>274</v>
      </c>
      <c r="P787" s="118">
        <v>3393650</v>
      </c>
      <c r="Q787" s="118">
        <v>0</v>
      </c>
      <c r="R787" s="118">
        <v>0</v>
      </c>
      <c r="S787" s="118">
        <f t="shared" si="112"/>
        <v>3393650</v>
      </c>
      <c r="T787" s="118">
        <f t="shared" si="108"/>
        <v>7986.9381030830791</v>
      </c>
      <c r="U787" s="118">
        <f t="shared" si="118"/>
        <v>7988.1619204518711</v>
      </c>
      <c r="V787" s="183">
        <f t="shared" si="113"/>
        <v>1.2238173687919698</v>
      </c>
      <c r="W787" s="183"/>
      <c r="X787" s="183"/>
      <c r="Y787" s="64">
        <f t="shared" si="114"/>
        <v>7988.1619204518711</v>
      </c>
      <c r="AA787" s="64">
        <f t="shared" si="115"/>
        <v>650</v>
      </c>
      <c r="AH787" s="64" t="e">
        <f t="shared" si="116"/>
        <v>#N/A</v>
      </c>
      <c r="AS787" s="64" t="e">
        <f t="shared" si="117"/>
        <v>#N/A</v>
      </c>
    </row>
    <row r="788" spans="1:45" s="64" customFormat="1" ht="36" customHeight="1" x14ac:dyDescent="0.9">
      <c r="A788" s="64">
        <v>1</v>
      </c>
      <c r="B788" s="92">
        <f>SUBTOTAL(103,$A$548:A788)</f>
        <v>236</v>
      </c>
      <c r="C788" s="91" t="s">
        <v>638</v>
      </c>
      <c r="D788" s="126">
        <v>1965</v>
      </c>
      <c r="E788" s="126"/>
      <c r="F788" s="145" t="s">
        <v>273</v>
      </c>
      <c r="G788" s="126">
        <v>5</v>
      </c>
      <c r="H788" s="126">
        <v>2</v>
      </c>
      <c r="I788" s="117">
        <v>4398.3999999999996</v>
      </c>
      <c r="J788" s="117">
        <v>2300.6799999999998</v>
      </c>
      <c r="K788" s="117">
        <v>2300.6799999999998</v>
      </c>
      <c r="L788" s="127">
        <v>202</v>
      </c>
      <c r="M788" s="126" t="s">
        <v>271</v>
      </c>
      <c r="N788" s="126" t="s">
        <v>275</v>
      </c>
      <c r="O788" s="124" t="s">
        <v>1113</v>
      </c>
      <c r="P788" s="118">
        <v>5195840</v>
      </c>
      <c r="Q788" s="118">
        <v>0</v>
      </c>
      <c r="R788" s="118">
        <v>0</v>
      </c>
      <c r="S788" s="118">
        <f t="shared" si="112"/>
        <v>5195840</v>
      </c>
      <c r="T788" s="118">
        <f t="shared" si="108"/>
        <v>1181.3022917424519</v>
      </c>
      <c r="U788" s="118">
        <f t="shared" si="118"/>
        <v>1234.6926154965442</v>
      </c>
      <c r="V788" s="183">
        <f t="shared" si="113"/>
        <v>53.390323754092378</v>
      </c>
      <c r="W788" s="183"/>
      <c r="X788" s="183"/>
      <c r="Y788" s="64">
        <f t="shared" si="114"/>
        <v>1234.6926154965442</v>
      </c>
      <c r="AA788" s="64">
        <f t="shared" si="115"/>
        <v>1040</v>
      </c>
      <c r="AH788" s="64" t="e">
        <f t="shared" si="116"/>
        <v>#N/A</v>
      </c>
      <c r="AS788" s="64" t="e">
        <f t="shared" si="117"/>
        <v>#N/A</v>
      </c>
    </row>
    <row r="789" spans="1:45" s="64" customFormat="1" ht="36" customHeight="1" x14ac:dyDescent="0.9">
      <c r="A789" s="64">
        <v>1</v>
      </c>
      <c r="B789" s="92">
        <f>SUBTOTAL(103,$A$548:A789)</f>
        <v>237</v>
      </c>
      <c r="C789" s="91" t="s">
        <v>636</v>
      </c>
      <c r="D789" s="126">
        <v>1993</v>
      </c>
      <c r="E789" s="126"/>
      <c r="F789" s="145" t="s">
        <v>319</v>
      </c>
      <c r="G789" s="126">
        <v>9</v>
      </c>
      <c r="H789" s="126">
        <v>2</v>
      </c>
      <c r="I789" s="117">
        <v>4008</v>
      </c>
      <c r="J789" s="117">
        <v>2472.3000000000002</v>
      </c>
      <c r="K789" s="117">
        <v>2472.3000000000002</v>
      </c>
      <c r="L789" s="127">
        <v>281</v>
      </c>
      <c r="M789" s="126" t="s">
        <v>271</v>
      </c>
      <c r="N789" s="126" t="s">
        <v>275</v>
      </c>
      <c r="O789" s="124" t="s">
        <v>1110</v>
      </c>
      <c r="P789" s="118">
        <v>4892077</v>
      </c>
      <c r="Q789" s="118">
        <v>0</v>
      </c>
      <c r="R789" s="118">
        <v>0</v>
      </c>
      <c r="S789" s="118">
        <f t="shared" si="112"/>
        <v>4892077</v>
      </c>
      <c r="T789" s="118">
        <f t="shared" si="108"/>
        <v>1220.5780938123753</v>
      </c>
      <c r="U789" s="118">
        <f t="shared" si="118"/>
        <v>1220.7651197604791</v>
      </c>
      <c r="V789" s="183">
        <f t="shared" si="113"/>
        <v>0.18702594810383744</v>
      </c>
      <c r="W789" s="183"/>
      <c r="X789" s="183"/>
      <c r="Y789" s="64">
        <f t="shared" si="114"/>
        <v>1220.7651197604791</v>
      </c>
      <c r="AA789" s="64">
        <f t="shared" si="115"/>
        <v>937</v>
      </c>
      <c r="AH789" s="64" t="e">
        <f t="shared" si="116"/>
        <v>#N/A</v>
      </c>
      <c r="AS789" s="64" t="e">
        <f t="shared" si="117"/>
        <v>#N/A</v>
      </c>
    </row>
    <row r="790" spans="1:45" s="64" customFormat="1" ht="36" customHeight="1" x14ac:dyDescent="0.9">
      <c r="A790" s="64">
        <v>1</v>
      </c>
      <c r="B790" s="92">
        <f>SUBTOTAL(103,$A$548:A790)</f>
        <v>238</v>
      </c>
      <c r="C790" s="91" t="s">
        <v>627</v>
      </c>
      <c r="D790" s="126">
        <v>1959</v>
      </c>
      <c r="E790" s="126"/>
      <c r="F790" s="145" t="s">
        <v>273</v>
      </c>
      <c r="G790" s="126">
        <v>2</v>
      </c>
      <c r="H790" s="126">
        <v>2</v>
      </c>
      <c r="I790" s="117">
        <v>676.9</v>
      </c>
      <c r="J790" s="117">
        <v>525.79999999999995</v>
      </c>
      <c r="K790" s="117">
        <v>525.79999999999995</v>
      </c>
      <c r="L790" s="127">
        <v>29</v>
      </c>
      <c r="M790" s="126" t="s">
        <v>271</v>
      </c>
      <c r="N790" s="126" t="s">
        <v>275</v>
      </c>
      <c r="O790" s="124" t="s">
        <v>728</v>
      </c>
      <c r="P790" s="118">
        <v>2921671.6</v>
      </c>
      <c r="Q790" s="118">
        <v>0</v>
      </c>
      <c r="R790" s="118">
        <v>0</v>
      </c>
      <c r="S790" s="118">
        <f t="shared" si="112"/>
        <v>2921671.6</v>
      </c>
      <c r="T790" s="118">
        <f t="shared" si="108"/>
        <v>4316.2529177131046</v>
      </c>
      <c r="U790" s="118">
        <f t="shared" si="118"/>
        <v>4316.9142857142861</v>
      </c>
      <c r="V790" s="183">
        <f t="shared" si="113"/>
        <v>0.66136800118147221</v>
      </c>
      <c r="W790" s="183"/>
      <c r="X790" s="183"/>
      <c r="Y790" s="64">
        <f t="shared" si="114"/>
        <v>4316.9142857142861</v>
      </c>
      <c r="AA790" s="64">
        <f t="shared" si="115"/>
        <v>559.6</v>
      </c>
      <c r="AH790" s="64" t="e">
        <f t="shared" si="116"/>
        <v>#N/A</v>
      </c>
      <c r="AS790" s="64" t="e">
        <f t="shared" si="117"/>
        <v>#N/A</v>
      </c>
    </row>
    <row r="791" spans="1:45" s="64" customFormat="1" ht="36" customHeight="1" x14ac:dyDescent="0.9">
      <c r="A791" s="64">
        <v>1</v>
      </c>
      <c r="B791" s="92">
        <f>SUBTOTAL(103,$A$548:A791)</f>
        <v>239</v>
      </c>
      <c r="C791" s="91" t="s">
        <v>642</v>
      </c>
      <c r="D791" s="126">
        <v>1962</v>
      </c>
      <c r="E791" s="126"/>
      <c r="F791" s="145" t="s">
        <v>273</v>
      </c>
      <c r="G791" s="126">
        <v>2</v>
      </c>
      <c r="H791" s="126">
        <v>2</v>
      </c>
      <c r="I791" s="117">
        <v>1671.6</v>
      </c>
      <c r="J791" s="117">
        <v>623.6</v>
      </c>
      <c r="K791" s="117">
        <v>623.6</v>
      </c>
      <c r="L791" s="127">
        <v>42</v>
      </c>
      <c r="M791" s="126" t="s">
        <v>271</v>
      </c>
      <c r="N791" s="126" t="s">
        <v>289</v>
      </c>
      <c r="O791" s="124" t="s">
        <v>274</v>
      </c>
      <c r="P791" s="118">
        <v>4923403</v>
      </c>
      <c r="Q791" s="118">
        <v>0</v>
      </c>
      <c r="R791" s="118">
        <v>0</v>
      </c>
      <c r="S791" s="118">
        <f t="shared" si="112"/>
        <v>4923403</v>
      </c>
      <c r="T791" s="118">
        <f t="shared" si="108"/>
        <v>2945.3236420196222</v>
      </c>
      <c r="U791" s="118">
        <f t="shared" si="118"/>
        <v>2945.7749461593685</v>
      </c>
      <c r="V791" s="183">
        <f t="shared" si="113"/>
        <v>0.45130413974629846</v>
      </c>
      <c r="W791" s="183"/>
      <c r="X791" s="183"/>
      <c r="Y791" s="64">
        <f t="shared" si="114"/>
        <v>2945.7749461593685</v>
      </c>
      <c r="AA791" s="64">
        <f t="shared" si="115"/>
        <v>943</v>
      </c>
      <c r="AH791" s="64" t="e">
        <f t="shared" si="116"/>
        <v>#N/A</v>
      </c>
      <c r="AS791" s="64" t="e">
        <f t="shared" si="117"/>
        <v>#N/A</v>
      </c>
    </row>
    <row r="792" spans="1:45" s="64" customFormat="1" ht="36" customHeight="1" x14ac:dyDescent="0.9">
      <c r="A792" s="64">
        <v>1</v>
      </c>
      <c r="B792" s="92">
        <f>SUBTOTAL(103,$A$548:A792)</f>
        <v>240</v>
      </c>
      <c r="C792" s="91" t="s">
        <v>641</v>
      </c>
      <c r="D792" s="126">
        <v>1956</v>
      </c>
      <c r="E792" s="126"/>
      <c r="F792" s="145" t="s">
        <v>273</v>
      </c>
      <c r="G792" s="126">
        <v>2</v>
      </c>
      <c r="H792" s="126">
        <v>1</v>
      </c>
      <c r="I792" s="117">
        <v>418.2</v>
      </c>
      <c r="J792" s="117">
        <v>261.2</v>
      </c>
      <c r="K792" s="117">
        <v>261.2</v>
      </c>
      <c r="L792" s="127">
        <v>21</v>
      </c>
      <c r="M792" s="126" t="s">
        <v>271</v>
      </c>
      <c r="N792" s="126" t="s">
        <v>272</v>
      </c>
      <c r="O792" s="124" t="s">
        <v>274</v>
      </c>
      <c r="P792" s="118">
        <v>2767130</v>
      </c>
      <c r="Q792" s="118">
        <v>0</v>
      </c>
      <c r="R792" s="118">
        <v>0</v>
      </c>
      <c r="S792" s="118">
        <f t="shared" si="112"/>
        <v>2767130</v>
      </c>
      <c r="T792" s="118">
        <f t="shared" si="108"/>
        <v>6616.7623146819706</v>
      </c>
      <c r="U792" s="118">
        <f t="shared" si="118"/>
        <v>6617.7761836441896</v>
      </c>
      <c r="V792" s="183">
        <f t="shared" si="113"/>
        <v>1.0138689622190213</v>
      </c>
      <c r="W792" s="183"/>
      <c r="X792" s="183"/>
      <c r="Y792" s="64">
        <f t="shared" si="114"/>
        <v>6617.7761836441896</v>
      </c>
      <c r="AA792" s="64">
        <f t="shared" si="115"/>
        <v>530</v>
      </c>
      <c r="AH792" s="64" t="e">
        <f t="shared" si="116"/>
        <v>#N/A</v>
      </c>
      <c r="AS792" s="64" t="e">
        <f t="shared" si="117"/>
        <v>#N/A</v>
      </c>
    </row>
    <row r="793" spans="1:45" s="64" customFormat="1" ht="36" customHeight="1" x14ac:dyDescent="0.9">
      <c r="A793" s="64">
        <v>1</v>
      </c>
      <c r="B793" s="92">
        <f>SUBTOTAL(103,$A$548:A793)</f>
        <v>241</v>
      </c>
      <c r="C793" s="91" t="s">
        <v>646</v>
      </c>
      <c r="D793" s="126">
        <v>1963</v>
      </c>
      <c r="E793" s="126"/>
      <c r="F793" s="145" t="s">
        <v>273</v>
      </c>
      <c r="G793" s="126">
        <v>9</v>
      </c>
      <c r="H793" s="126">
        <v>1</v>
      </c>
      <c r="I793" s="117">
        <v>2814.2</v>
      </c>
      <c r="J793" s="117">
        <v>388.96</v>
      </c>
      <c r="K793" s="117">
        <v>388.96</v>
      </c>
      <c r="L793" s="127">
        <v>13</v>
      </c>
      <c r="M793" s="126" t="s">
        <v>271</v>
      </c>
      <c r="N793" s="126" t="s">
        <v>275</v>
      </c>
      <c r="O793" s="124" t="s">
        <v>728</v>
      </c>
      <c r="P793" s="118">
        <v>2248303</v>
      </c>
      <c r="Q793" s="118">
        <v>0</v>
      </c>
      <c r="R793" s="118">
        <v>0</v>
      </c>
      <c r="S793" s="118">
        <f t="shared" si="112"/>
        <v>2248303</v>
      </c>
      <c r="T793" s="118">
        <f t="shared" ref="T793:T863" si="119">P793/I793</f>
        <v>798.91372326060696</v>
      </c>
      <c r="U793" s="118">
        <f>T793</f>
        <v>798.91372326060696</v>
      </c>
      <c r="V793" s="183">
        <f t="shared" si="113"/>
        <v>0</v>
      </c>
      <c r="W793" s="183"/>
      <c r="X793" s="183"/>
      <c r="Y793" s="64" t="e">
        <f t="shared" si="114"/>
        <v>#N/A</v>
      </c>
      <c r="AA793" s="64" t="e">
        <f t="shared" si="115"/>
        <v>#N/A</v>
      </c>
      <c r="AH793" s="64" t="e">
        <f t="shared" si="116"/>
        <v>#N/A</v>
      </c>
      <c r="AR793" s="64">
        <f>AS793*2207413/I793</f>
        <v>784.38383910169853</v>
      </c>
      <c r="AS793" s="64">
        <f t="shared" si="117"/>
        <v>1</v>
      </c>
    </row>
    <row r="794" spans="1:45" s="64" customFormat="1" ht="36" customHeight="1" x14ac:dyDescent="0.9">
      <c r="A794" s="64">
        <v>1</v>
      </c>
      <c r="B794" s="92">
        <f>SUBTOTAL(103,$A$548:A794)</f>
        <v>242</v>
      </c>
      <c r="C794" s="91" t="s">
        <v>653</v>
      </c>
      <c r="D794" s="126">
        <v>1990</v>
      </c>
      <c r="E794" s="126"/>
      <c r="F794" s="145" t="s">
        <v>273</v>
      </c>
      <c r="G794" s="126">
        <v>2</v>
      </c>
      <c r="H794" s="126">
        <v>1</v>
      </c>
      <c r="I794" s="117">
        <v>2805.67</v>
      </c>
      <c r="J794" s="117">
        <v>317</v>
      </c>
      <c r="K794" s="117">
        <v>317</v>
      </c>
      <c r="L794" s="127">
        <v>31</v>
      </c>
      <c r="M794" s="126" t="s">
        <v>271</v>
      </c>
      <c r="N794" s="126" t="s">
        <v>289</v>
      </c>
      <c r="O794" s="124" t="s">
        <v>274</v>
      </c>
      <c r="P794" s="118">
        <v>5495600.0099999998</v>
      </c>
      <c r="Q794" s="118">
        <v>0</v>
      </c>
      <c r="R794" s="118">
        <v>0</v>
      </c>
      <c r="S794" s="118">
        <f t="shared" si="112"/>
        <v>5495600.0099999998</v>
      </c>
      <c r="T794" s="118">
        <f t="shared" si="119"/>
        <v>1958.7478249402102</v>
      </c>
      <c r="U794" s="118">
        <f t="shared" ref="U794:U800" si="120">Y794</f>
        <v>2047.2756952884695</v>
      </c>
      <c r="V794" s="183">
        <f t="shared" si="113"/>
        <v>88.527870348259285</v>
      </c>
      <c r="W794" s="183"/>
      <c r="X794" s="183"/>
      <c r="Y794" s="64">
        <f t="shared" si="114"/>
        <v>2047.2756952884695</v>
      </c>
      <c r="AA794" s="64">
        <f t="shared" si="115"/>
        <v>1100</v>
      </c>
      <c r="AH794" s="64" t="e">
        <f t="shared" si="116"/>
        <v>#N/A</v>
      </c>
      <c r="AS794" s="64" t="e">
        <f t="shared" si="117"/>
        <v>#N/A</v>
      </c>
    </row>
    <row r="795" spans="1:45" s="64" customFormat="1" ht="36" customHeight="1" x14ac:dyDescent="0.9">
      <c r="A795" s="64">
        <v>1</v>
      </c>
      <c r="B795" s="92">
        <f>SUBTOTAL(103,$A$548:A795)</f>
        <v>243</v>
      </c>
      <c r="C795" s="91" t="s">
        <v>644</v>
      </c>
      <c r="D795" s="126">
        <v>1965</v>
      </c>
      <c r="E795" s="126"/>
      <c r="F795" s="145" t="s">
        <v>273</v>
      </c>
      <c r="G795" s="126">
        <v>5</v>
      </c>
      <c r="H795" s="126">
        <v>3</v>
      </c>
      <c r="I795" s="117">
        <v>2423.8000000000002</v>
      </c>
      <c r="J795" s="117">
        <v>2218.9</v>
      </c>
      <c r="K795" s="117">
        <v>2218.9</v>
      </c>
      <c r="L795" s="127">
        <v>120</v>
      </c>
      <c r="M795" s="126" t="s">
        <v>271</v>
      </c>
      <c r="N795" s="126" t="s">
        <v>275</v>
      </c>
      <c r="O795" s="124" t="s">
        <v>728</v>
      </c>
      <c r="P795" s="118">
        <v>4364006</v>
      </c>
      <c r="Q795" s="118">
        <v>0</v>
      </c>
      <c r="R795" s="118">
        <v>0</v>
      </c>
      <c r="S795" s="118">
        <f t="shared" si="112"/>
        <v>4364006</v>
      </c>
      <c r="T795" s="118">
        <f t="shared" si="119"/>
        <v>1800.4810627939598</v>
      </c>
      <c r="U795" s="118">
        <f t="shared" si="120"/>
        <v>1881.8558874494593</v>
      </c>
      <c r="V795" s="183">
        <f t="shared" si="113"/>
        <v>81.374824655499424</v>
      </c>
      <c r="W795" s="183"/>
      <c r="X795" s="183"/>
      <c r="Y795" s="64">
        <f t="shared" si="114"/>
        <v>1881.8558874494593</v>
      </c>
      <c r="AA795" s="64">
        <f t="shared" si="115"/>
        <v>873.5</v>
      </c>
      <c r="AH795" s="64" t="e">
        <f t="shared" si="116"/>
        <v>#N/A</v>
      </c>
      <c r="AS795" s="64" t="e">
        <f t="shared" si="117"/>
        <v>#N/A</v>
      </c>
    </row>
    <row r="796" spans="1:45" s="64" customFormat="1" ht="36" customHeight="1" x14ac:dyDescent="0.9">
      <c r="A796" s="64">
        <v>1</v>
      </c>
      <c r="B796" s="92">
        <f>SUBTOTAL(103,$A$548:A796)</f>
        <v>244</v>
      </c>
      <c r="C796" s="91" t="s">
        <v>1648</v>
      </c>
      <c r="D796" s="126">
        <v>1969</v>
      </c>
      <c r="E796" s="126"/>
      <c r="F796" s="145" t="s">
        <v>1649</v>
      </c>
      <c r="G796" s="126">
        <v>2</v>
      </c>
      <c r="H796" s="126">
        <v>2</v>
      </c>
      <c r="I796" s="118">
        <v>784.54</v>
      </c>
      <c r="J796" s="118">
        <v>723.44</v>
      </c>
      <c r="K796" s="118">
        <f>J796</f>
        <v>723.44</v>
      </c>
      <c r="L796" s="127">
        <v>28</v>
      </c>
      <c r="M796" s="126" t="s">
        <v>271</v>
      </c>
      <c r="N796" s="126" t="s">
        <v>275</v>
      </c>
      <c r="O796" s="124" t="s">
        <v>731</v>
      </c>
      <c r="P796" s="118">
        <v>3850862.6100000003</v>
      </c>
      <c r="Q796" s="118">
        <v>0</v>
      </c>
      <c r="R796" s="118">
        <v>0</v>
      </c>
      <c r="S796" s="118">
        <f>P796-Q796-R796</f>
        <v>3850862.6100000003</v>
      </c>
      <c r="T796" s="118">
        <f>P796/I796</f>
        <v>4908.4337446146792</v>
      </c>
      <c r="U796" s="118">
        <f t="shared" si="120"/>
        <v>5098.4000815764657</v>
      </c>
      <c r="V796" s="183">
        <f t="shared" si="113"/>
        <v>189.96633696178651</v>
      </c>
      <c r="W796" s="183"/>
      <c r="X796" s="183"/>
      <c r="Y796" s="64">
        <f t="shared" si="114"/>
        <v>5098.4000815764657</v>
      </c>
      <c r="AA796" s="64">
        <f t="shared" si="115"/>
        <v>766</v>
      </c>
      <c r="AH796" s="64" t="e">
        <f t="shared" si="116"/>
        <v>#N/A</v>
      </c>
      <c r="AS796" s="64" t="e">
        <f t="shared" si="117"/>
        <v>#N/A</v>
      </c>
    </row>
    <row r="797" spans="1:45" s="64" customFormat="1" ht="36" customHeight="1" x14ac:dyDescent="0.9">
      <c r="A797" s="64">
        <v>1</v>
      </c>
      <c r="B797" s="92">
        <f>SUBTOTAL(103,$A$548:A797)</f>
        <v>245</v>
      </c>
      <c r="C797" s="91" t="s">
        <v>1671</v>
      </c>
      <c r="D797" s="126">
        <v>1978</v>
      </c>
      <c r="E797" s="126"/>
      <c r="F797" s="145" t="s">
        <v>326</v>
      </c>
      <c r="G797" s="126">
        <v>5</v>
      </c>
      <c r="H797" s="126">
        <v>4</v>
      </c>
      <c r="I797" s="117">
        <v>2708</v>
      </c>
      <c r="J797" s="117">
        <v>1818.5</v>
      </c>
      <c r="K797" s="117">
        <f>J797-29.2</f>
        <v>1789.3</v>
      </c>
      <c r="L797" s="127">
        <v>123</v>
      </c>
      <c r="M797" s="126" t="s">
        <v>271</v>
      </c>
      <c r="N797" s="126" t="s">
        <v>275</v>
      </c>
      <c r="O797" s="124" t="s">
        <v>1705</v>
      </c>
      <c r="P797" s="118">
        <v>2693242.85</v>
      </c>
      <c r="Q797" s="118">
        <v>0</v>
      </c>
      <c r="R797" s="118">
        <v>0</v>
      </c>
      <c r="S797" s="118">
        <f>P797-Q797-R797</f>
        <v>2693242.85</v>
      </c>
      <c r="T797" s="118">
        <f>P797/I952</f>
        <v>547.20688569222636</v>
      </c>
      <c r="U797" s="118">
        <f t="shared" si="120"/>
        <v>1407.1285502215658</v>
      </c>
      <c r="V797" s="183">
        <f t="shared" si="113"/>
        <v>859.92166452933941</v>
      </c>
      <c r="W797" s="183"/>
      <c r="X797" s="183"/>
      <c r="Y797" s="64">
        <f t="shared" si="114"/>
        <v>1407.1285502215658</v>
      </c>
      <c r="AA797" s="64">
        <f t="shared" si="115"/>
        <v>729.73</v>
      </c>
      <c r="AH797" s="64" t="e">
        <f t="shared" si="116"/>
        <v>#N/A</v>
      </c>
      <c r="AS797" s="64" t="e">
        <f t="shared" si="117"/>
        <v>#N/A</v>
      </c>
    </row>
    <row r="798" spans="1:45" s="64" customFormat="1" ht="36" customHeight="1" x14ac:dyDescent="0.9">
      <c r="A798" s="64">
        <v>1</v>
      </c>
      <c r="B798" s="92">
        <f>SUBTOTAL(103,$A$548:A798)</f>
        <v>246</v>
      </c>
      <c r="C798" s="91" t="s">
        <v>1672</v>
      </c>
      <c r="D798" s="126">
        <v>1955</v>
      </c>
      <c r="E798" s="126"/>
      <c r="F798" s="145" t="s">
        <v>1374</v>
      </c>
      <c r="G798" s="126">
        <v>2</v>
      </c>
      <c r="H798" s="126">
        <v>1</v>
      </c>
      <c r="I798" s="117">
        <v>370.1</v>
      </c>
      <c r="J798" s="117">
        <v>335.1</v>
      </c>
      <c r="K798" s="117">
        <f>J798-161.7</f>
        <v>173.40000000000003</v>
      </c>
      <c r="L798" s="127">
        <v>28</v>
      </c>
      <c r="M798" s="126" t="s">
        <v>271</v>
      </c>
      <c r="N798" s="126" t="s">
        <v>275</v>
      </c>
      <c r="O798" s="124" t="s">
        <v>728</v>
      </c>
      <c r="P798" s="118">
        <v>2003970.19</v>
      </c>
      <c r="Q798" s="118">
        <v>0</v>
      </c>
      <c r="R798" s="118">
        <v>0</v>
      </c>
      <c r="S798" s="118">
        <f>P798-Q798-R798</f>
        <v>2003970.19</v>
      </c>
      <c r="T798" s="118">
        <f>P798/I953</f>
        <v>495.73772758757173</v>
      </c>
      <c r="U798" s="118">
        <f t="shared" si="120"/>
        <v>5414.6722129154277</v>
      </c>
      <c r="V798" s="183">
        <f t="shared" si="113"/>
        <v>4918.9344853278562</v>
      </c>
      <c r="W798" s="183"/>
      <c r="X798" s="183"/>
      <c r="Y798" s="64">
        <f t="shared" si="114"/>
        <v>5414.6722129154277</v>
      </c>
      <c r="AA798" s="64">
        <f t="shared" si="115"/>
        <v>383.77</v>
      </c>
      <c r="AH798" s="64" t="e">
        <f t="shared" si="116"/>
        <v>#N/A</v>
      </c>
      <c r="AS798" s="64" t="e">
        <f t="shared" si="117"/>
        <v>#N/A</v>
      </c>
    </row>
    <row r="799" spans="1:45" s="64" customFormat="1" ht="36" customHeight="1" x14ac:dyDescent="0.9">
      <c r="A799" s="64">
        <v>1</v>
      </c>
      <c r="B799" s="92">
        <f>SUBTOTAL(103,$A$548:A799)</f>
        <v>247</v>
      </c>
      <c r="C799" s="91" t="s">
        <v>1673</v>
      </c>
      <c r="D799" s="126">
        <v>1962</v>
      </c>
      <c r="E799" s="126"/>
      <c r="F799" s="145" t="s">
        <v>1374</v>
      </c>
      <c r="G799" s="126">
        <v>2</v>
      </c>
      <c r="H799" s="126">
        <v>4</v>
      </c>
      <c r="I799" s="117">
        <v>780.2</v>
      </c>
      <c r="J799" s="117">
        <v>709.6</v>
      </c>
      <c r="K799" s="117">
        <f>J799-25.5</f>
        <v>684.1</v>
      </c>
      <c r="L799" s="127">
        <v>27</v>
      </c>
      <c r="M799" s="126" t="s">
        <v>271</v>
      </c>
      <c r="N799" s="126" t="s">
        <v>272</v>
      </c>
      <c r="O799" s="124" t="s">
        <v>274</v>
      </c>
      <c r="P799" s="118">
        <v>3795204.2399999998</v>
      </c>
      <c r="Q799" s="118">
        <v>0</v>
      </c>
      <c r="R799" s="118">
        <v>0</v>
      </c>
      <c r="S799" s="118">
        <f>P799-Q799-R799</f>
        <v>3795204.2399999998</v>
      </c>
      <c r="T799" s="118">
        <f>P799/I954</f>
        <v>835.61676868202028</v>
      </c>
      <c r="U799" s="118">
        <f t="shared" si="120"/>
        <v>4864.3991796975133</v>
      </c>
      <c r="V799" s="183">
        <f t="shared" si="113"/>
        <v>4028.7824110154929</v>
      </c>
      <c r="W799" s="183"/>
      <c r="X799" s="183"/>
      <c r="Y799" s="64">
        <f t="shared" si="114"/>
        <v>4864.3991796975133</v>
      </c>
      <c r="AA799" s="64">
        <f t="shared" si="115"/>
        <v>726.8</v>
      </c>
      <c r="AH799" s="64" t="e">
        <f t="shared" si="116"/>
        <v>#N/A</v>
      </c>
      <c r="AS799" s="64" t="e">
        <f t="shared" si="117"/>
        <v>#N/A</v>
      </c>
    </row>
    <row r="800" spans="1:45" s="64" customFormat="1" ht="36" customHeight="1" x14ac:dyDescent="0.9">
      <c r="A800" s="64">
        <v>1</v>
      </c>
      <c r="B800" s="92">
        <f>SUBTOTAL(103,$A$548:A800)</f>
        <v>248</v>
      </c>
      <c r="C800" s="91" t="s">
        <v>1674</v>
      </c>
      <c r="D800" s="126">
        <v>1954</v>
      </c>
      <c r="E800" s="126"/>
      <c r="F800" s="145" t="s">
        <v>1374</v>
      </c>
      <c r="G800" s="126">
        <v>2</v>
      </c>
      <c r="H800" s="126">
        <v>2</v>
      </c>
      <c r="I800" s="117">
        <v>510.78</v>
      </c>
      <c r="J800" s="117">
        <v>472.98</v>
      </c>
      <c r="K800" s="117">
        <f>J800-13.1</f>
        <v>459.88</v>
      </c>
      <c r="L800" s="127">
        <v>19</v>
      </c>
      <c r="M800" s="126" t="s">
        <v>271</v>
      </c>
      <c r="N800" s="126" t="s">
        <v>275</v>
      </c>
      <c r="O800" s="124" t="s">
        <v>1348</v>
      </c>
      <c r="P800" s="118">
        <v>2221249.2799999998</v>
      </c>
      <c r="Q800" s="118">
        <v>0</v>
      </c>
      <c r="R800" s="118">
        <v>0</v>
      </c>
      <c r="S800" s="118">
        <f>P800-Q800-R800</f>
        <v>2221249.2799999998</v>
      </c>
      <c r="T800" s="118">
        <f>P800/I955</f>
        <v>365.87262275370193</v>
      </c>
      <c r="U800" s="118">
        <f t="shared" si="120"/>
        <v>4348.7397392223656</v>
      </c>
      <c r="V800" s="183">
        <f t="shared" si="113"/>
        <v>3982.8671164686639</v>
      </c>
      <c r="W800" s="183"/>
      <c r="X800" s="183"/>
      <c r="Y800" s="64">
        <f t="shared" si="114"/>
        <v>4348.7397392223656</v>
      </c>
      <c r="AA800" s="64">
        <f t="shared" si="115"/>
        <v>425.38</v>
      </c>
      <c r="AH800" s="64" t="e">
        <f t="shared" si="116"/>
        <v>#N/A</v>
      </c>
      <c r="AS800" s="64" t="e">
        <f t="shared" si="117"/>
        <v>#N/A</v>
      </c>
    </row>
    <row r="801" spans="1:45" s="64" customFormat="1" ht="36" customHeight="1" x14ac:dyDescent="0.9">
      <c r="B801" s="91" t="s">
        <v>841</v>
      </c>
      <c r="C801" s="91"/>
      <c r="D801" s="126" t="s">
        <v>916</v>
      </c>
      <c r="E801" s="126" t="s">
        <v>916</v>
      </c>
      <c r="F801" s="126" t="s">
        <v>916</v>
      </c>
      <c r="G801" s="126" t="s">
        <v>916</v>
      </c>
      <c r="H801" s="126" t="s">
        <v>916</v>
      </c>
      <c r="I801" s="117">
        <f>SUM(I802:I803)</f>
        <v>12179.5</v>
      </c>
      <c r="J801" s="117">
        <f>SUM(J802:J803)</f>
        <v>9281.2000000000007</v>
      </c>
      <c r="K801" s="117">
        <f>SUM(K802:K803)</f>
        <v>8817.5999999999985</v>
      </c>
      <c r="L801" s="127">
        <f>SUM(L802:L803)</f>
        <v>420</v>
      </c>
      <c r="M801" s="126" t="s">
        <v>916</v>
      </c>
      <c r="N801" s="126" t="s">
        <v>916</v>
      </c>
      <c r="O801" s="124" t="s">
        <v>916</v>
      </c>
      <c r="P801" s="117">
        <v>10075097.600000001</v>
      </c>
      <c r="Q801" s="117">
        <f>SUM(Q802:Q803)</f>
        <v>0</v>
      </c>
      <c r="R801" s="117">
        <f>SUM(R802:R803)</f>
        <v>0</v>
      </c>
      <c r="S801" s="117">
        <f>SUM(S802:S803)</f>
        <v>10075097.600000001</v>
      </c>
      <c r="T801" s="118">
        <f t="shared" si="119"/>
        <v>827.21766903403272</v>
      </c>
      <c r="U801" s="118">
        <f>MAX(U802:U803)</f>
        <v>890.1717632994621</v>
      </c>
      <c r="V801" s="183">
        <f t="shared" si="113"/>
        <v>62.954094265429376</v>
      </c>
      <c r="W801" s="183"/>
      <c r="X801" s="183"/>
      <c r="Y801" s="64" t="e">
        <f t="shared" si="114"/>
        <v>#N/A</v>
      </c>
      <c r="AA801" s="64" t="e">
        <f t="shared" si="115"/>
        <v>#N/A</v>
      </c>
      <c r="AH801" s="64" t="e">
        <f t="shared" si="116"/>
        <v>#N/A</v>
      </c>
      <c r="AS801" s="64" t="e">
        <f t="shared" si="117"/>
        <v>#N/A</v>
      </c>
    </row>
    <row r="802" spans="1:45" s="64" customFormat="1" ht="36" customHeight="1" x14ac:dyDescent="0.9">
      <c r="A802" s="64">
        <v>1</v>
      </c>
      <c r="B802" s="92">
        <f>SUBTOTAL(103,$A$548:A802)</f>
        <v>249</v>
      </c>
      <c r="C802" s="91" t="s">
        <v>662</v>
      </c>
      <c r="D802" s="126">
        <v>1981</v>
      </c>
      <c r="E802" s="126"/>
      <c r="F802" s="145" t="s">
        <v>319</v>
      </c>
      <c r="G802" s="126">
        <v>5</v>
      </c>
      <c r="H802" s="126">
        <v>7</v>
      </c>
      <c r="I802" s="117">
        <v>7160.5</v>
      </c>
      <c r="J802" s="117">
        <v>5349.7</v>
      </c>
      <c r="K802" s="117">
        <v>5077.8999999999996</v>
      </c>
      <c r="L802" s="127">
        <v>233</v>
      </c>
      <c r="M802" s="126" t="s">
        <v>271</v>
      </c>
      <c r="N802" s="126" t="s">
        <v>275</v>
      </c>
      <c r="O802" s="124" t="s">
        <v>733</v>
      </c>
      <c r="P802" s="118">
        <v>5608010</v>
      </c>
      <c r="Q802" s="118">
        <v>0</v>
      </c>
      <c r="R802" s="118">
        <v>0</v>
      </c>
      <c r="S802" s="118">
        <f>P802-Q802-R802</f>
        <v>5608010</v>
      </c>
      <c r="T802" s="118">
        <f t="shared" si="119"/>
        <v>783.18692828713074</v>
      </c>
      <c r="U802" s="118">
        <f>Y802</f>
        <v>818.5839676000279</v>
      </c>
      <c r="V802" s="183">
        <f t="shared" si="113"/>
        <v>35.397039312897164</v>
      </c>
      <c r="W802" s="183"/>
      <c r="X802" s="183"/>
      <c r="Y802" s="64">
        <f t="shared" si="114"/>
        <v>818.5839676000279</v>
      </c>
      <c r="AA802" s="64">
        <f t="shared" si="115"/>
        <v>1122.5</v>
      </c>
      <c r="AH802" s="64" t="e">
        <f t="shared" si="116"/>
        <v>#N/A</v>
      </c>
      <c r="AS802" s="64" t="e">
        <f t="shared" si="117"/>
        <v>#N/A</v>
      </c>
    </row>
    <row r="803" spans="1:45" s="64" customFormat="1" ht="36" customHeight="1" x14ac:dyDescent="0.9">
      <c r="A803" s="64">
        <v>1</v>
      </c>
      <c r="B803" s="92">
        <f>SUBTOTAL(103,$A$548:A803)</f>
        <v>250</v>
      </c>
      <c r="C803" s="91" t="s">
        <v>659</v>
      </c>
      <c r="D803" s="126">
        <v>1987</v>
      </c>
      <c r="E803" s="126"/>
      <c r="F803" s="145" t="s">
        <v>273</v>
      </c>
      <c r="G803" s="126">
        <v>5</v>
      </c>
      <c r="H803" s="126">
        <v>6</v>
      </c>
      <c r="I803" s="117">
        <v>5019</v>
      </c>
      <c r="J803" s="117">
        <v>3931.5</v>
      </c>
      <c r="K803" s="117">
        <v>3739.7</v>
      </c>
      <c r="L803" s="127">
        <v>187</v>
      </c>
      <c r="M803" s="126" t="s">
        <v>271</v>
      </c>
      <c r="N803" s="126" t="s">
        <v>275</v>
      </c>
      <c r="O803" s="124" t="s">
        <v>733</v>
      </c>
      <c r="P803" s="118">
        <v>4467087.6000000006</v>
      </c>
      <c r="Q803" s="118">
        <v>0</v>
      </c>
      <c r="R803" s="118">
        <v>0</v>
      </c>
      <c r="S803" s="118">
        <f>P803-Q803-R803</f>
        <v>4467087.6000000006</v>
      </c>
      <c r="T803" s="118">
        <f t="shared" si="119"/>
        <v>890.03538553496719</v>
      </c>
      <c r="U803" s="118">
        <f>Y803</f>
        <v>890.1717632994621</v>
      </c>
      <c r="V803" s="183">
        <f t="shared" si="113"/>
        <v>0.13637776449490957</v>
      </c>
      <c r="W803" s="183"/>
      <c r="X803" s="183"/>
      <c r="Y803" s="64">
        <f t="shared" si="114"/>
        <v>890.1717632994621</v>
      </c>
      <c r="AA803" s="64">
        <f t="shared" si="115"/>
        <v>855.6</v>
      </c>
      <c r="AH803" s="64" t="e">
        <f t="shared" si="116"/>
        <v>#N/A</v>
      </c>
      <c r="AS803" s="64" t="e">
        <f t="shared" si="117"/>
        <v>#N/A</v>
      </c>
    </row>
    <row r="804" spans="1:45" s="64" customFormat="1" ht="36" customHeight="1" x14ac:dyDescent="0.9">
      <c r="B804" s="91" t="s">
        <v>842</v>
      </c>
      <c r="C804" s="91"/>
      <c r="D804" s="126" t="s">
        <v>916</v>
      </c>
      <c r="E804" s="126" t="s">
        <v>916</v>
      </c>
      <c r="F804" s="126" t="s">
        <v>916</v>
      </c>
      <c r="G804" s="126" t="s">
        <v>916</v>
      </c>
      <c r="H804" s="126" t="s">
        <v>916</v>
      </c>
      <c r="I804" s="117">
        <f>SUM(I805:I808)</f>
        <v>3741.9999999999995</v>
      </c>
      <c r="J804" s="117">
        <f>SUM(J805:J808)</f>
        <v>3567.1</v>
      </c>
      <c r="K804" s="117">
        <f>SUM(K805:K808)</f>
        <v>2710.9</v>
      </c>
      <c r="L804" s="127">
        <f>SUM(L805:L808)</f>
        <v>153</v>
      </c>
      <c r="M804" s="126" t="s">
        <v>916</v>
      </c>
      <c r="N804" s="126" t="s">
        <v>916</v>
      </c>
      <c r="O804" s="124" t="s">
        <v>916</v>
      </c>
      <c r="P804" s="117">
        <v>13069363.829999998</v>
      </c>
      <c r="Q804" s="117">
        <f>SUM(Q805:Q808)</f>
        <v>0</v>
      </c>
      <c r="R804" s="117">
        <f>SUM(R805:R808)</f>
        <v>0</v>
      </c>
      <c r="S804" s="117">
        <f>SUM(S805:S808)</f>
        <v>13069363.829999998</v>
      </c>
      <c r="T804" s="118">
        <f t="shared" si="119"/>
        <v>3492.6145991448425</v>
      </c>
      <c r="U804" s="118">
        <f>MAX(U805:U808)</f>
        <v>10453.869946984569</v>
      </c>
      <c r="V804" s="183">
        <f t="shared" si="113"/>
        <v>6961.2553478397258</v>
      </c>
      <c r="W804" s="183"/>
      <c r="X804" s="183"/>
      <c r="Y804" s="64" t="e">
        <f t="shared" si="114"/>
        <v>#N/A</v>
      </c>
      <c r="AA804" s="64" t="e">
        <f t="shared" si="115"/>
        <v>#N/A</v>
      </c>
      <c r="AH804" s="64" t="e">
        <f t="shared" si="116"/>
        <v>#N/A</v>
      </c>
      <c r="AS804" s="64" t="e">
        <f t="shared" si="117"/>
        <v>#N/A</v>
      </c>
    </row>
    <row r="805" spans="1:45" s="64" customFormat="1" ht="36" customHeight="1" x14ac:dyDescent="0.9">
      <c r="A805" s="64">
        <v>1</v>
      </c>
      <c r="B805" s="92">
        <f>SUBTOTAL(103,$A$548:A805)</f>
        <v>251</v>
      </c>
      <c r="C805" s="91" t="s">
        <v>667</v>
      </c>
      <c r="D805" s="126">
        <v>1937</v>
      </c>
      <c r="E805" s="126"/>
      <c r="F805" s="145" t="s">
        <v>338</v>
      </c>
      <c r="G805" s="126">
        <v>2</v>
      </c>
      <c r="H805" s="126">
        <v>2</v>
      </c>
      <c r="I805" s="117">
        <v>423.5</v>
      </c>
      <c r="J805" s="117">
        <v>423.5</v>
      </c>
      <c r="K805" s="117">
        <v>301.89999999999998</v>
      </c>
      <c r="L805" s="127">
        <v>26</v>
      </c>
      <c r="M805" s="126" t="s">
        <v>271</v>
      </c>
      <c r="N805" s="126" t="s">
        <v>289</v>
      </c>
      <c r="O805" s="124" t="s">
        <v>274</v>
      </c>
      <c r="P805" s="118">
        <v>1801245</v>
      </c>
      <c r="Q805" s="118">
        <v>0</v>
      </c>
      <c r="R805" s="118">
        <v>0</v>
      </c>
      <c r="S805" s="118">
        <f>P805-Q805-R805</f>
        <v>1801245</v>
      </c>
      <c r="T805" s="118">
        <f t="shared" si="119"/>
        <v>4253.2349468713101</v>
      </c>
      <c r="U805" s="118">
        <f>Y805</f>
        <v>4253.88665879575</v>
      </c>
      <c r="V805" s="183">
        <f t="shared" si="113"/>
        <v>0.65171192443995096</v>
      </c>
      <c r="W805" s="183"/>
      <c r="X805" s="183"/>
      <c r="Y805" s="64">
        <f t="shared" si="114"/>
        <v>4253.88665879575</v>
      </c>
      <c r="AA805" s="64">
        <f t="shared" si="115"/>
        <v>345</v>
      </c>
      <c r="AH805" s="64" t="e">
        <f t="shared" si="116"/>
        <v>#N/A</v>
      </c>
      <c r="AS805" s="64" t="e">
        <f t="shared" si="117"/>
        <v>#N/A</v>
      </c>
    </row>
    <row r="806" spans="1:45" s="64" customFormat="1" ht="36" customHeight="1" x14ac:dyDescent="0.9">
      <c r="A806" s="64">
        <v>1</v>
      </c>
      <c r="B806" s="92">
        <f>SUBTOTAL(103,$A$548:A806)</f>
        <v>252</v>
      </c>
      <c r="C806" s="91" t="s">
        <v>668</v>
      </c>
      <c r="D806" s="126">
        <v>1952</v>
      </c>
      <c r="E806" s="126"/>
      <c r="F806" s="145" t="s">
        <v>273</v>
      </c>
      <c r="G806" s="126">
        <v>2</v>
      </c>
      <c r="H806" s="126">
        <v>2</v>
      </c>
      <c r="I806" s="117">
        <v>906.8</v>
      </c>
      <c r="J806" s="117">
        <v>836.1</v>
      </c>
      <c r="K806" s="117">
        <v>538</v>
      </c>
      <c r="L806" s="127">
        <v>33</v>
      </c>
      <c r="M806" s="126" t="s">
        <v>271</v>
      </c>
      <c r="N806" s="126" t="s">
        <v>275</v>
      </c>
      <c r="O806" s="124" t="s">
        <v>734</v>
      </c>
      <c r="P806" s="118">
        <v>4223945.63</v>
      </c>
      <c r="Q806" s="118">
        <v>0</v>
      </c>
      <c r="R806" s="118">
        <v>0</v>
      </c>
      <c r="S806" s="118">
        <f>P806-Q806-R806</f>
        <v>4223945.63</v>
      </c>
      <c r="T806" s="118">
        <f t="shared" si="119"/>
        <v>4658.0785509483903</v>
      </c>
      <c r="U806" s="118">
        <f>Y806+AG806</f>
        <v>10453.869946984569</v>
      </c>
      <c r="V806" s="183">
        <f t="shared" si="113"/>
        <v>5795.7913960361784</v>
      </c>
      <c r="W806" s="183"/>
      <c r="X806" s="183"/>
      <c r="Y806" s="64">
        <f t="shared" si="114"/>
        <v>4658.7922959858852</v>
      </c>
      <c r="AA806" s="64">
        <f t="shared" si="115"/>
        <v>809.03</v>
      </c>
      <c r="AG806" s="64">
        <f>AH806*6191.24/J806</f>
        <v>5795.0776509986836</v>
      </c>
      <c r="AH806" s="64">
        <f t="shared" si="116"/>
        <v>782.6</v>
      </c>
      <c r="AS806" s="64" t="e">
        <f t="shared" si="117"/>
        <v>#N/A</v>
      </c>
    </row>
    <row r="807" spans="1:45" s="64" customFormat="1" ht="36" customHeight="1" x14ac:dyDescent="0.9">
      <c r="A807" s="64">
        <v>1</v>
      </c>
      <c r="B807" s="92">
        <f>SUBTOTAL(103,$A$548:A807)</f>
        <v>253</v>
      </c>
      <c r="C807" s="91" t="s">
        <v>669</v>
      </c>
      <c r="D807" s="126">
        <v>1975</v>
      </c>
      <c r="E807" s="126"/>
      <c r="F807" s="145" t="s">
        <v>273</v>
      </c>
      <c r="G807" s="126">
        <v>3</v>
      </c>
      <c r="H807" s="126">
        <v>2</v>
      </c>
      <c r="I807" s="117">
        <v>1248.5999999999999</v>
      </c>
      <c r="J807" s="117">
        <v>1248.5999999999999</v>
      </c>
      <c r="K807" s="117">
        <v>1155.9000000000001</v>
      </c>
      <c r="L807" s="127">
        <v>54</v>
      </c>
      <c r="M807" s="126" t="s">
        <v>271</v>
      </c>
      <c r="N807" s="126" t="s">
        <v>275</v>
      </c>
      <c r="O807" s="124" t="s">
        <v>728</v>
      </c>
      <c r="P807" s="118">
        <v>3905308</v>
      </c>
      <c r="Q807" s="118">
        <v>0</v>
      </c>
      <c r="R807" s="118">
        <v>0</v>
      </c>
      <c r="S807" s="118">
        <f>P807-Q807-R807</f>
        <v>3905308</v>
      </c>
      <c r="T807" s="118">
        <f t="shared" si="119"/>
        <v>3127.749479416947</v>
      </c>
      <c r="U807" s="118">
        <f>Y807</f>
        <v>3128.228736184527</v>
      </c>
      <c r="V807" s="183">
        <f t="shared" si="113"/>
        <v>0.47925676757995461</v>
      </c>
      <c r="W807" s="183"/>
      <c r="X807" s="183"/>
      <c r="Y807" s="64">
        <f t="shared" si="114"/>
        <v>3128.228736184527</v>
      </c>
      <c r="AA807" s="64">
        <f t="shared" si="115"/>
        <v>748</v>
      </c>
      <c r="AH807" s="64" t="e">
        <f t="shared" si="116"/>
        <v>#N/A</v>
      </c>
      <c r="AS807" s="64" t="e">
        <f t="shared" si="117"/>
        <v>#N/A</v>
      </c>
    </row>
    <row r="808" spans="1:45" s="64" customFormat="1" ht="36" customHeight="1" x14ac:dyDescent="0.9">
      <c r="A808" s="64">
        <v>1</v>
      </c>
      <c r="B808" s="92">
        <f>SUBTOTAL(103,$A$548:A808)</f>
        <v>254</v>
      </c>
      <c r="C808" s="91" t="s">
        <v>666</v>
      </c>
      <c r="D808" s="126">
        <v>1959</v>
      </c>
      <c r="E808" s="126"/>
      <c r="F808" s="145" t="s">
        <v>273</v>
      </c>
      <c r="G808" s="126">
        <v>3</v>
      </c>
      <c r="H808" s="126">
        <v>3</v>
      </c>
      <c r="I808" s="117">
        <v>1163.0999999999999</v>
      </c>
      <c r="J808" s="117">
        <v>1058.9000000000001</v>
      </c>
      <c r="K808" s="117">
        <v>715.1</v>
      </c>
      <c r="L808" s="127">
        <v>40</v>
      </c>
      <c r="M808" s="126" t="s">
        <v>271</v>
      </c>
      <c r="N808" s="126" t="s">
        <v>275</v>
      </c>
      <c r="O808" s="124" t="s">
        <v>734</v>
      </c>
      <c r="P808" s="118">
        <v>3138865.1999999997</v>
      </c>
      <c r="Q808" s="118">
        <v>0</v>
      </c>
      <c r="R808" s="118">
        <v>0</v>
      </c>
      <c r="S808" s="118">
        <f>P808-Q808-R808</f>
        <v>3138865.1999999997</v>
      </c>
      <c r="T808" s="118">
        <f t="shared" si="119"/>
        <v>2698.7062161465051</v>
      </c>
      <c r="U808" s="118">
        <f>Y808</f>
        <v>2699.1197317513543</v>
      </c>
      <c r="V808" s="183">
        <f t="shared" si="113"/>
        <v>0.41351560484918082</v>
      </c>
      <c r="W808" s="183"/>
      <c r="X808" s="183"/>
      <c r="Y808" s="64">
        <f t="shared" si="114"/>
        <v>2699.1197317513543</v>
      </c>
      <c r="AA808" s="64">
        <f t="shared" si="115"/>
        <v>601.20000000000005</v>
      </c>
      <c r="AH808" s="64" t="e">
        <f t="shared" si="116"/>
        <v>#N/A</v>
      </c>
      <c r="AS808" s="64" t="e">
        <f t="shared" si="117"/>
        <v>#N/A</v>
      </c>
    </row>
    <row r="809" spans="1:45" s="64" customFormat="1" ht="36" customHeight="1" x14ac:dyDescent="0.9">
      <c r="B809" s="91" t="s">
        <v>843</v>
      </c>
      <c r="C809" s="91"/>
      <c r="D809" s="126" t="s">
        <v>916</v>
      </c>
      <c r="E809" s="126" t="s">
        <v>916</v>
      </c>
      <c r="F809" s="126" t="s">
        <v>916</v>
      </c>
      <c r="G809" s="126" t="s">
        <v>916</v>
      </c>
      <c r="H809" s="126" t="s">
        <v>916</v>
      </c>
      <c r="I809" s="117">
        <f>SUM(I810:I811)</f>
        <v>6782.4000000000005</v>
      </c>
      <c r="J809" s="117">
        <f>SUM(J810:J811)</f>
        <v>5456.1</v>
      </c>
      <c r="K809" s="117">
        <f>SUM(K810:K811)</f>
        <v>5456.1</v>
      </c>
      <c r="L809" s="127">
        <f>SUM(L810:L811)</f>
        <v>246</v>
      </c>
      <c r="M809" s="126" t="s">
        <v>916</v>
      </c>
      <c r="N809" s="126" t="s">
        <v>916</v>
      </c>
      <c r="O809" s="124" t="s">
        <v>916</v>
      </c>
      <c r="P809" s="117">
        <v>9045880.0099999998</v>
      </c>
      <c r="Q809" s="117">
        <f>SUM(Q810:Q811)</f>
        <v>0</v>
      </c>
      <c r="R809" s="117">
        <f>SUM(R810:R811)</f>
        <v>0</v>
      </c>
      <c r="S809" s="117">
        <f>SUM(S810:S811)</f>
        <v>9045880.0099999998</v>
      </c>
      <c r="T809" s="118">
        <f t="shared" si="119"/>
        <v>1333.7284751710308</v>
      </c>
      <c r="U809" s="118">
        <f>MAX(U810:U811)</f>
        <v>2194.1691898906261</v>
      </c>
      <c r="V809" s="183">
        <f t="shared" si="113"/>
        <v>860.44071471959523</v>
      </c>
      <c r="W809" s="183"/>
      <c r="X809" s="183"/>
      <c r="Y809" s="64" t="e">
        <f t="shared" si="114"/>
        <v>#N/A</v>
      </c>
      <c r="AA809" s="64" t="e">
        <f t="shared" si="115"/>
        <v>#N/A</v>
      </c>
      <c r="AH809" s="64" t="e">
        <f t="shared" si="116"/>
        <v>#N/A</v>
      </c>
      <c r="AS809" s="64" t="e">
        <f t="shared" si="117"/>
        <v>#N/A</v>
      </c>
    </row>
    <row r="810" spans="1:45" s="64" customFormat="1" ht="36" customHeight="1" x14ac:dyDescent="0.9">
      <c r="A810" s="64">
        <v>1</v>
      </c>
      <c r="B810" s="92">
        <f>SUBTOTAL(103,$A$548:A810)</f>
        <v>255</v>
      </c>
      <c r="C810" s="91" t="s">
        <v>674</v>
      </c>
      <c r="D810" s="126">
        <v>1977</v>
      </c>
      <c r="E810" s="126"/>
      <c r="F810" s="145" t="s">
        <v>273</v>
      </c>
      <c r="G810" s="126">
        <v>3</v>
      </c>
      <c r="H810" s="126">
        <v>1</v>
      </c>
      <c r="I810" s="117">
        <v>1618.3</v>
      </c>
      <c r="J810" s="117">
        <v>1618.3</v>
      </c>
      <c r="K810" s="117">
        <v>1618.3</v>
      </c>
      <c r="L810" s="127">
        <v>48</v>
      </c>
      <c r="M810" s="126" t="s">
        <v>271</v>
      </c>
      <c r="N810" s="126" t="s">
        <v>275</v>
      </c>
      <c r="O810" s="124" t="s">
        <v>1019</v>
      </c>
      <c r="P810" s="118">
        <v>3550280</v>
      </c>
      <c r="Q810" s="118">
        <v>0</v>
      </c>
      <c r="R810" s="118">
        <v>0</v>
      </c>
      <c r="S810" s="118">
        <f>P810-Q810-R810</f>
        <v>3550280</v>
      </c>
      <c r="T810" s="118">
        <f t="shared" si="119"/>
        <v>2193.8330346660077</v>
      </c>
      <c r="U810" s="118">
        <f>Y810</f>
        <v>2194.1691898906261</v>
      </c>
      <c r="V810" s="183">
        <f t="shared" si="113"/>
        <v>0.3361552246183237</v>
      </c>
      <c r="W810" s="183"/>
      <c r="X810" s="183"/>
      <c r="Y810" s="64">
        <f t="shared" si="114"/>
        <v>2194.1691898906261</v>
      </c>
      <c r="AA810" s="64">
        <f t="shared" si="115"/>
        <v>680</v>
      </c>
      <c r="AH810" s="64" t="e">
        <f t="shared" si="116"/>
        <v>#N/A</v>
      </c>
      <c r="AS810" s="64" t="e">
        <f t="shared" si="117"/>
        <v>#N/A</v>
      </c>
    </row>
    <row r="811" spans="1:45" s="64" customFormat="1" ht="36" customHeight="1" x14ac:dyDescent="0.9">
      <c r="A811" s="64">
        <v>1</v>
      </c>
      <c r="B811" s="92">
        <f>SUBTOTAL(103,$A$548:A811)</f>
        <v>256</v>
      </c>
      <c r="C811" s="91" t="s">
        <v>677</v>
      </c>
      <c r="D811" s="126">
        <v>1986</v>
      </c>
      <c r="E811" s="126"/>
      <c r="F811" s="145" t="s">
        <v>273</v>
      </c>
      <c r="G811" s="126">
        <v>5</v>
      </c>
      <c r="H811" s="126">
        <v>6</v>
      </c>
      <c r="I811" s="117">
        <v>5164.1000000000004</v>
      </c>
      <c r="J811" s="117">
        <v>3837.8</v>
      </c>
      <c r="K811" s="117">
        <v>3837.8</v>
      </c>
      <c r="L811" s="127">
        <v>198</v>
      </c>
      <c r="M811" s="126" t="s">
        <v>271</v>
      </c>
      <c r="N811" s="126" t="s">
        <v>275</v>
      </c>
      <c r="O811" s="124" t="s">
        <v>738</v>
      </c>
      <c r="P811" s="118">
        <v>5495600.0099999998</v>
      </c>
      <c r="Q811" s="118">
        <v>0</v>
      </c>
      <c r="R811" s="118">
        <v>0</v>
      </c>
      <c r="S811" s="118">
        <f>P811-Q811-R811</f>
        <v>5495600.0099999998</v>
      </c>
      <c r="T811" s="118">
        <f t="shared" si="119"/>
        <v>1064.1931817741715</v>
      </c>
      <c r="U811" s="118">
        <f>Y811</f>
        <v>1112.2906217927614</v>
      </c>
      <c r="V811" s="183">
        <f t="shared" si="113"/>
        <v>48.09744001858985</v>
      </c>
      <c r="W811" s="183"/>
      <c r="X811" s="183"/>
      <c r="Y811" s="64">
        <f t="shared" si="114"/>
        <v>1112.2906217927614</v>
      </c>
      <c r="AA811" s="64">
        <f t="shared" si="115"/>
        <v>1100</v>
      </c>
      <c r="AH811" s="64" t="e">
        <f t="shared" si="116"/>
        <v>#N/A</v>
      </c>
      <c r="AS811" s="64" t="e">
        <f t="shared" si="117"/>
        <v>#N/A</v>
      </c>
    </row>
    <row r="812" spans="1:45" s="64" customFormat="1" ht="36" customHeight="1" x14ac:dyDescent="0.9">
      <c r="B812" s="91" t="s">
        <v>844</v>
      </c>
      <c r="C812" s="172"/>
      <c r="D812" s="126" t="s">
        <v>916</v>
      </c>
      <c r="E812" s="126" t="s">
        <v>916</v>
      </c>
      <c r="F812" s="126" t="s">
        <v>916</v>
      </c>
      <c r="G812" s="126" t="s">
        <v>916</v>
      </c>
      <c r="H812" s="126" t="s">
        <v>916</v>
      </c>
      <c r="I812" s="117">
        <f>SUM(I813:I813)</f>
        <v>2780.7</v>
      </c>
      <c r="J812" s="117">
        <f>SUM(J813:J813)</f>
        <v>1662.8</v>
      </c>
      <c r="K812" s="117">
        <f>SUM(K813:K813)</f>
        <v>1629.7</v>
      </c>
      <c r="L812" s="127">
        <f>SUM(L813:L813)</f>
        <v>103</v>
      </c>
      <c r="M812" s="126" t="s">
        <v>916</v>
      </c>
      <c r="N812" s="126" t="s">
        <v>916</v>
      </c>
      <c r="O812" s="124" t="s">
        <v>916</v>
      </c>
      <c r="P812" s="117">
        <v>2579501.7000000002</v>
      </c>
      <c r="Q812" s="117">
        <f>SUM(Q813:Q813)</f>
        <v>0</v>
      </c>
      <c r="R812" s="117">
        <f>SUM(R813:R813)</f>
        <v>0</v>
      </c>
      <c r="S812" s="117">
        <f>SUM(S813:S813)</f>
        <v>2579501.7000000002</v>
      </c>
      <c r="T812" s="118">
        <f t="shared" si="119"/>
        <v>927.64472974430907</v>
      </c>
      <c r="U812" s="118">
        <f>MAX(U813:U813)</f>
        <v>1690.0852303376848</v>
      </c>
      <c r="V812" s="183">
        <f t="shared" si="113"/>
        <v>762.44050059337576</v>
      </c>
      <c r="W812" s="183"/>
      <c r="X812" s="183"/>
      <c r="Y812" s="64" t="e">
        <f t="shared" si="114"/>
        <v>#N/A</v>
      </c>
      <c r="AA812" s="64" t="e">
        <f t="shared" si="115"/>
        <v>#N/A</v>
      </c>
      <c r="AH812" s="64" t="e">
        <f t="shared" si="116"/>
        <v>#N/A</v>
      </c>
      <c r="AS812" s="64" t="e">
        <f t="shared" si="117"/>
        <v>#N/A</v>
      </c>
    </row>
    <row r="813" spans="1:45" s="64" customFormat="1" ht="36" customHeight="1" x14ac:dyDescent="0.9">
      <c r="A813" s="64">
        <v>1</v>
      </c>
      <c r="B813" s="92">
        <f>SUBTOTAL(103,$A$548:A813)</f>
        <v>257</v>
      </c>
      <c r="C813" s="91" t="s">
        <v>784</v>
      </c>
      <c r="D813" s="126">
        <v>1985</v>
      </c>
      <c r="E813" s="126"/>
      <c r="F813" s="145" t="s">
        <v>273</v>
      </c>
      <c r="G813" s="126">
        <v>5</v>
      </c>
      <c r="H813" s="126">
        <v>4</v>
      </c>
      <c r="I813" s="117">
        <v>2780.7</v>
      </c>
      <c r="J813" s="117">
        <v>1662.8</v>
      </c>
      <c r="K813" s="117">
        <v>1629.7</v>
      </c>
      <c r="L813" s="127">
        <v>103</v>
      </c>
      <c r="M813" s="126" t="s">
        <v>271</v>
      </c>
      <c r="N813" s="126" t="s">
        <v>349</v>
      </c>
      <c r="O813" s="124" t="s">
        <v>743</v>
      </c>
      <c r="P813" s="118">
        <v>2579501.7000000002</v>
      </c>
      <c r="Q813" s="118">
        <v>0</v>
      </c>
      <c r="R813" s="118">
        <v>0</v>
      </c>
      <c r="S813" s="118">
        <f>P813-Q813-R813</f>
        <v>2579501.7000000002</v>
      </c>
      <c r="T813" s="118">
        <f t="shared" si="119"/>
        <v>927.64472974430907</v>
      </c>
      <c r="U813" s="118">
        <f>Y813</f>
        <v>1690.0852303376848</v>
      </c>
      <c r="V813" s="183">
        <f t="shared" si="113"/>
        <v>762.44050059337576</v>
      </c>
      <c r="W813" s="183"/>
      <c r="X813" s="183"/>
      <c r="Y813" s="64">
        <f t="shared" si="114"/>
        <v>1690.0852303376848</v>
      </c>
      <c r="AA813" s="64">
        <f t="shared" si="115"/>
        <v>900</v>
      </c>
      <c r="AH813" s="64" t="e">
        <f t="shared" si="116"/>
        <v>#N/A</v>
      </c>
      <c r="AS813" s="64" t="e">
        <f t="shared" si="117"/>
        <v>#N/A</v>
      </c>
    </row>
    <row r="814" spans="1:45" s="64" customFormat="1" ht="36" customHeight="1" x14ac:dyDescent="0.9">
      <c r="B814" s="91" t="s">
        <v>846</v>
      </c>
      <c r="C814" s="91"/>
      <c r="D814" s="126" t="s">
        <v>916</v>
      </c>
      <c r="E814" s="126" t="s">
        <v>916</v>
      </c>
      <c r="F814" s="126" t="s">
        <v>916</v>
      </c>
      <c r="G814" s="126" t="s">
        <v>916</v>
      </c>
      <c r="H814" s="126" t="s">
        <v>916</v>
      </c>
      <c r="I814" s="117">
        <f>SUM(I815:I816)</f>
        <v>983.7</v>
      </c>
      <c r="J814" s="117">
        <f>SUM(J815:J816)</f>
        <v>875.3</v>
      </c>
      <c r="K814" s="117">
        <f>SUM(K815:K816)</f>
        <v>203.5</v>
      </c>
      <c r="L814" s="127">
        <f>SUM(L815:L816)</f>
        <v>39</v>
      </c>
      <c r="M814" s="126" t="s">
        <v>916</v>
      </c>
      <c r="N814" s="126" t="s">
        <v>916</v>
      </c>
      <c r="O814" s="124" t="s">
        <v>916</v>
      </c>
      <c r="P814" s="117">
        <v>3008567.42</v>
      </c>
      <c r="Q814" s="117">
        <f>SUM(Q815:Q816)</f>
        <v>0</v>
      </c>
      <c r="R814" s="117">
        <f>SUM(R815:R816)</f>
        <v>0</v>
      </c>
      <c r="S814" s="117">
        <f>SUM(S815:S816)</f>
        <v>3008567.42</v>
      </c>
      <c r="T814" s="118">
        <f t="shared" si="119"/>
        <v>3058.419660465589</v>
      </c>
      <c r="U814" s="118">
        <f>MAX(U815:U816)</f>
        <v>4777.7542589437826</v>
      </c>
      <c r="V814" s="183">
        <f t="shared" si="113"/>
        <v>1719.3345984781936</v>
      </c>
      <c r="W814" s="183"/>
      <c r="X814" s="183"/>
      <c r="Y814" s="64" t="e">
        <f t="shared" si="114"/>
        <v>#N/A</v>
      </c>
      <c r="AA814" s="64" t="e">
        <f t="shared" si="115"/>
        <v>#N/A</v>
      </c>
      <c r="AH814" s="64" t="e">
        <f t="shared" si="116"/>
        <v>#N/A</v>
      </c>
      <c r="AS814" s="64" t="e">
        <f t="shared" si="117"/>
        <v>#N/A</v>
      </c>
    </row>
    <row r="815" spans="1:45" s="64" customFormat="1" ht="36" customHeight="1" x14ac:dyDescent="0.9">
      <c r="A815" s="64">
        <v>1</v>
      </c>
      <c r="B815" s="92">
        <f>SUBTOTAL(103,$A$548:A815)</f>
        <v>258</v>
      </c>
      <c r="C815" s="91" t="s">
        <v>710</v>
      </c>
      <c r="D815" s="126">
        <v>1975</v>
      </c>
      <c r="E815" s="126"/>
      <c r="F815" s="145" t="s">
        <v>273</v>
      </c>
      <c r="G815" s="126">
        <v>2</v>
      </c>
      <c r="H815" s="126">
        <v>2</v>
      </c>
      <c r="I815" s="117">
        <v>704.4</v>
      </c>
      <c r="J815" s="117">
        <v>617.79999999999995</v>
      </c>
      <c r="K815" s="117">
        <v>171.4</v>
      </c>
      <c r="L815" s="127">
        <v>22</v>
      </c>
      <c r="M815" s="126" t="s">
        <v>271</v>
      </c>
      <c r="N815" s="126" t="s">
        <v>272</v>
      </c>
      <c r="O815" s="124" t="s">
        <v>274</v>
      </c>
      <c r="P815" s="118">
        <v>2605803.73</v>
      </c>
      <c r="Q815" s="118">
        <v>0</v>
      </c>
      <c r="R815" s="118">
        <v>0</v>
      </c>
      <c r="S815" s="118">
        <f>P815-Q815-R815</f>
        <v>2605803.73</v>
      </c>
      <c r="T815" s="118">
        <f t="shared" si="119"/>
        <v>3699.3238642816582</v>
      </c>
      <c r="U815" s="118">
        <f>Y815</f>
        <v>4777.7542589437826</v>
      </c>
      <c r="V815" s="183">
        <f t="shared" si="113"/>
        <v>1078.4303946621244</v>
      </c>
      <c r="W815" s="183"/>
      <c r="X815" s="183"/>
      <c r="Y815" s="64">
        <f t="shared" si="114"/>
        <v>4777.7542589437826</v>
      </c>
      <c r="AA815" s="64">
        <f t="shared" si="115"/>
        <v>644.5</v>
      </c>
      <c r="AH815" s="64" t="e">
        <f t="shared" si="116"/>
        <v>#N/A</v>
      </c>
      <c r="AS815" s="64" t="e">
        <f t="shared" si="117"/>
        <v>#N/A</v>
      </c>
    </row>
    <row r="816" spans="1:45" s="64" customFormat="1" ht="36" customHeight="1" x14ac:dyDescent="0.9">
      <c r="A816" s="64">
        <v>1</v>
      </c>
      <c r="B816" s="92">
        <f>SUBTOTAL(103,$A$548:A816)</f>
        <v>259</v>
      </c>
      <c r="C816" s="91" t="s">
        <v>701</v>
      </c>
      <c r="D816" s="126">
        <v>1961</v>
      </c>
      <c r="E816" s="126"/>
      <c r="F816" s="145" t="s">
        <v>273</v>
      </c>
      <c r="G816" s="126">
        <v>2</v>
      </c>
      <c r="H816" s="126">
        <v>1</v>
      </c>
      <c r="I816" s="117">
        <v>279.3</v>
      </c>
      <c r="J816" s="117">
        <v>257.5</v>
      </c>
      <c r="K816" s="117">
        <v>32.1</v>
      </c>
      <c r="L816" s="127">
        <v>17</v>
      </c>
      <c r="M816" s="126" t="s">
        <v>271</v>
      </c>
      <c r="N816" s="126" t="s">
        <v>272</v>
      </c>
      <c r="O816" s="124" t="s">
        <v>274</v>
      </c>
      <c r="P816" s="118">
        <v>402763.69</v>
      </c>
      <c r="Q816" s="118">
        <v>0</v>
      </c>
      <c r="R816" s="118">
        <v>0</v>
      </c>
      <c r="S816" s="118">
        <f>P816-Q816-R816</f>
        <v>402763.69</v>
      </c>
      <c r="T816" s="118">
        <f t="shared" si="119"/>
        <v>1442.0468671679198</v>
      </c>
      <c r="U816" s="118">
        <v>1442.0468671679198</v>
      </c>
      <c r="V816" s="183">
        <f t="shared" si="113"/>
        <v>0</v>
      </c>
      <c r="W816" s="183"/>
      <c r="X816" s="183"/>
      <c r="Y816" s="64" t="e">
        <f t="shared" si="114"/>
        <v>#N/A</v>
      </c>
      <c r="AA816" s="64" t="e">
        <f t="shared" si="115"/>
        <v>#N/A</v>
      </c>
      <c r="AH816" s="64" t="e">
        <f t="shared" si="116"/>
        <v>#N/A</v>
      </c>
      <c r="AS816" s="64" t="e">
        <f t="shared" si="117"/>
        <v>#N/A</v>
      </c>
    </row>
    <row r="817" spans="1:194" s="64" customFormat="1" ht="36" customHeight="1" x14ac:dyDescent="0.9">
      <c r="B817" s="91" t="s">
        <v>891</v>
      </c>
      <c r="C817" s="91"/>
      <c r="D817" s="126" t="s">
        <v>916</v>
      </c>
      <c r="E817" s="126" t="s">
        <v>916</v>
      </c>
      <c r="F817" s="126" t="s">
        <v>916</v>
      </c>
      <c r="G817" s="126" t="s">
        <v>916</v>
      </c>
      <c r="H817" s="126" t="s">
        <v>916</v>
      </c>
      <c r="I817" s="117">
        <f>I818</f>
        <v>618.29999999999995</v>
      </c>
      <c r="J817" s="117">
        <f>J818</f>
        <v>561.1</v>
      </c>
      <c r="K817" s="117">
        <f>K818</f>
        <v>2850.3</v>
      </c>
      <c r="L817" s="127">
        <f>L818</f>
        <v>30</v>
      </c>
      <c r="M817" s="126" t="s">
        <v>916</v>
      </c>
      <c r="N817" s="126" t="s">
        <v>916</v>
      </c>
      <c r="O817" s="124" t="s">
        <v>916</v>
      </c>
      <c r="P817" s="117">
        <v>3080948</v>
      </c>
      <c r="Q817" s="117">
        <f>Q818</f>
        <v>0</v>
      </c>
      <c r="R817" s="117">
        <f>R818</f>
        <v>0</v>
      </c>
      <c r="S817" s="117">
        <f>S818</f>
        <v>3080948</v>
      </c>
      <c r="T817" s="118">
        <f t="shared" si="119"/>
        <v>4982.9338508814499</v>
      </c>
      <c r="U817" s="118">
        <f>T817</f>
        <v>4982.9338508814499</v>
      </c>
      <c r="V817" s="183">
        <f t="shared" si="113"/>
        <v>0</v>
      </c>
      <c r="W817" s="183"/>
      <c r="X817" s="183"/>
      <c r="Y817" s="64" t="e">
        <f t="shared" si="114"/>
        <v>#N/A</v>
      </c>
      <c r="AA817" s="64" t="e">
        <f t="shared" si="115"/>
        <v>#N/A</v>
      </c>
      <c r="AH817" s="64" t="e">
        <f t="shared" si="116"/>
        <v>#N/A</v>
      </c>
      <c r="AS817" s="64" t="e">
        <f t="shared" si="117"/>
        <v>#N/A</v>
      </c>
    </row>
    <row r="818" spans="1:194" s="64" customFormat="1" ht="36" customHeight="1" x14ac:dyDescent="0.9">
      <c r="A818" s="64">
        <v>1</v>
      </c>
      <c r="B818" s="92">
        <f>SUBTOTAL(103,$A$548:A818)</f>
        <v>260</v>
      </c>
      <c r="C818" s="91" t="s">
        <v>695</v>
      </c>
      <c r="D818" s="126">
        <v>1984</v>
      </c>
      <c r="E818" s="126"/>
      <c r="F818" s="145" t="s">
        <v>326</v>
      </c>
      <c r="G818" s="126">
        <v>2</v>
      </c>
      <c r="H818" s="126">
        <v>2</v>
      </c>
      <c r="I818" s="117">
        <v>618.29999999999995</v>
      </c>
      <c r="J818" s="117">
        <v>561.1</v>
      </c>
      <c r="K818" s="117">
        <v>2850.3</v>
      </c>
      <c r="L818" s="127">
        <v>30</v>
      </c>
      <c r="M818" s="126" t="s">
        <v>271</v>
      </c>
      <c r="N818" s="126" t="s">
        <v>272</v>
      </c>
      <c r="O818" s="124" t="s">
        <v>274</v>
      </c>
      <c r="P818" s="118">
        <v>3080948</v>
      </c>
      <c r="Q818" s="118">
        <v>0</v>
      </c>
      <c r="R818" s="118">
        <v>0</v>
      </c>
      <c r="S818" s="118">
        <f>P818-Q818-R818</f>
        <v>3080948</v>
      </c>
      <c r="T818" s="118">
        <f t="shared" si="119"/>
        <v>4982.9338508814499</v>
      </c>
      <c r="U818" s="118">
        <f>T818</f>
        <v>4982.9338508814499</v>
      </c>
      <c r="V818" s="183">
        <f t="shared" si="113"/>
        <v>0</v>
      </c>
      <c r="W818" s="183"/>
      <c r="X818" s="183"/>
      <c r="Y818" s="64">
        <f t="shared" si="114"/>
        <v>4391.6157205240179</v>
      </c>
      <c r="AA818" s="64">
        <f t="shared" si="115"/>
        <v>520</v>
      </c>
      <c r="AH818" s="64" t="e">
        <f t="shared" si="116"/>
        <v>#N/A</v>
      </c>
      <c r="AS818" s="64" t="e">
        <f t="shared" si="117"/>
        <v>#N/A</v>
      </c>
    </row>
    <row r="819" spans="1:194" s="64" customFormat="1" ht="36" customHeight="1" x14ac:dyDescent="0.9">
      <c r="B819" s="91" t="s">
        <v>847</v>
      </c>
      <c r="C819" s="91"/>
      <c r="D819" s="126" t="s">
        <v>916</v>
      </c>
      <c r="E819" s="126" t="s">
        <v>916</v>
      </c>
      <c r="F819" s="126" t="s">
        <v>916</v>
      </c>
      <c r="G819" s="126" t="s">
        <v>916</v>
      </c>
      <c r="H819" s="126" t="s">
        <v>916</v>
      </c>
      <c r="I819" s="117">
        <f>I820</f>
        <v>3085.8</v>
      </c>
      <c r="J819" s="117">
        <f>J820</f>
        <v>2104.5</v>
      </c>
      <c r="K819" s="117">
        <f>K820</f>
        <v>1863.3</v>
      </c>
      <c r="L819" s="127">
        <f>L820</f>
        <v>144</v>
      </c>
      <c r="M819" s="126" t="s">
        <v>916</v>
      </c>
      <c r="N819" s="126" t="s">
        <v>916</v>
      </c>
      <c r="O819" s="124" t="s">
        <v>916</v>
      </c>
      <c r="P819" s="117">
        <v>2000000</v>
      </c>
      <c r="Q819" s="117">
        <f>Q820</f>
        <v>0</v>
      </c>
      <c r="R819" s="117">
        <f>R820</f>
        <v>0</v>
      </c>
      <c r="S819" s="117">
        <f>S820</f>
        <v>2000000</v>
      </c>
      <c r="T819" s="118">
        <f t="shared" si="119"/>
        <v>648.13014453302219</v>
      </c>
      <c r="U819" s="118">
        <f>U820</f>
        <v>1184.779004472098</v>
      </c>
      <c r="V819" s="183">
        <f t="shared" si="113"/>
        <v>536.64885993907581</v>
      </c>
      <c r="W819" s="183"/>
      <c r="X819" s="183"/>
      <c r="Y819" s="64" t="e">
        <f t="shared" si="114"/>
        <v>#N/A</v>
      </c>
      <c r="AA819" s="64" t="e">
        <f t="shared" si="115"/>
        <v>#N/A</v>
      </c>
      <c r="AH819" s="64" t="e">
        <f t="shared" si="116"/>
        <v>#N/A</v>
      </c>
      <c r="AS819" s="64" t="e">
        <f t="shared" si="117"/>
        <v>#N/A</v>
      </c>
    </row>
    <row r="820" spans="1:194" s="20" customFormat="1" ht="36" customHeight="1" x14ac:dyDescent="0.9">
      <c r="A820" s="64">
        <v>1</v>
      </c>
      <c r="B820" s="92">
        <f>SUBTOTAL(103,$A$548:A820)</f>
        <v>261</v>
      </c>
      <c r="C820" s="116" t="s">
        <v>702</v>
      </c>
      <c r="D820" s="126">
        <v>1979</v>
      </c>
      <c r="E820" s="126"/>
      <c r="F820" s="147" t="s">
        <v>747</v>
      </c>
      <c r="G820" s="126">
        <v>5</v>
      </c>
      <c r="H820" s="126">
        <v>4</v>
      </c>
      <c r="I820" s="117">
        <v>3085.8</v>
      </c>
      <c r="J820" s="117">
        <v>2104.5</v>
      </c>
      <c r="K820" s="117">
        <v>1863.3</v>
      </c>
      <c r="L820" s="128">
        <v>144</v>
      </c>
      <c r="M820" s="126" t="s">
        <v>271</v>
      </c>
      <c r="N820" s="126" t="s">
        <v>275</v>
      </c>
      <c r="O820" s="126" t="s">
        <v>744</v>
      </c>
      <c r="P820" s="117">
        <v>2000000</v>
      </c>
      <c r="Q820" s="117">
        <v>0</v>
      </c>
      <c r="R820" s="117">
        <v>0</v>
      </c>
      <c r="S820" s="117">
        <f>P820-Q820-R820</f>
        <v>2000000</v>
      </c>
      <c r="T820" s="118">
        <f t="shared" si="119"/>
        <v>648.13014453302219</v>
      </c>
      <c r="U820" s="118">
        <f>Y820</f>
        <v>1184.779004472098</v>
      </c>
      <c r="V820" s="183">
        <f t="shared" si="113"/>
        <v>536.64885993907581</v>
      </c>
      <c r="W820" s="183"/>
      <c r="X820" s="183"/>
      <c r="Y820" s="64">
        <f t="shared" si="114"/>
        <v>1184.779004472098</v>
      </c>
      <c r="AA820" s="64">
        <f t="shared" si="115"/>
        <v>700.14</v>
      </c>
      <c r="AH820" s="64" t="e">
        <f t="shared" si="116"/>
        <v>#N/A</v>
      </c>
      <c r="AS820" s="64" t="e">
        <f t="shared" si="117"/>
        <v>#N/A</v>
      </c>
      <c r="DT820" s="119"/>
      <c r="DU820" s="119"/>
      <c r="DV820" s="119"/>
      <c r="EJ820" s="120"/>
      <c r="ES820" s="121"/>
      <c r="FV820" s="122"/>
      <c r="GL820" s="123"/>
    </row>
    <row r="821" spans="1:194" s="64" customFormat="1" ht="36" customHeight="1" x14ac:dyDescent="0.9">
      <c r="B821" s="91" t="s">
        <v>848</v>
      </c>
      <c r="C821" s="91"/>
      <c r="D821" s="126" t="s">
        <v>916</v>
      </c>
      <c r="E821" s="126" t="s">
        <v>916</v>
      </c>
      <c r="F821" s="126" t="s">
        <v>916</v>
      </c>
      <c r="G821" s="126" t="s">
        <v>916</v>
      </c>
      <c r="H821" s="126" t="s">
        <v>916</v>
      </c>
      <c r="I821" s="117">
        <f>SUM(I822:I827)</f>
        <v>16441</v>
      </c>
      <c r="J821" s="117">
        <f>SUM(J822:J827)</f>
        <v>12174.9</v>
      </c>
      <c r="K821" s="117">
        <f>SUM(K822:K827)</f>
        <v>11434.4</v>
      </c>
      <c r="L821" s="127">
        <f>SUM(L822:L827)</f>
        <v>486</v>
      </c>
      <c r="M821" s="126" t="s">
        <v>916</v>
      </c>
      <c r="N821" s="126" t="s">
        <v>916</v>
      </c>
      <c r="O821" s="124" t="s">
        <v>916</v>
      </c>
      <c r="P821" s="117">
        <v>23342012.82</v>
      </c>
      <c r="Q821" s="117">
        <f>SUM(Q822:Q827)</f>
        <v>0</v>
      </c>
      <c r="R821" s="117">
        <f>SUM(R822:R827)</f>
        <v>0</v>
      </c>
      <c r="S821" s="117">
        <f>SUM(S822:S827)</f>
        <v>23342012.82</v>
      </c>
      <c r="T821" s="118">
        <f t="shared" si="119"/>
        <v>1419.7441043732133</v>
      </c>
      <c r="U821" s="118">
        <f>MAX(U822:U827)</f>
        <v>6809.8928736095368</v>
      </c>
      <c r="V821" s="183">
        <f t="shared" si="113"/>
        <v>5390.1487692363235</v>
      </c>
      <c r="W821" s="183"/>
      <c r="X821" s="183"/>
      <c r="Y821" s="64" t="e">
        <f t="shared" si="114"/>
        <v>#N/A</v>
      </c>
      <c r="AA821" s="64" t="e">
        <f t="shared" si="115"/>
        <v>#N/A</v>
      </c>
      <c r="AH821" s="64" t="e">
        <f t="shared" si="116"/>
        <v>#N/A</v>
      </c>
      <c r="AS821" s="64" t="e">
        <f t="shared" si="117"/>
        <v>#N/A</v>
      </c>
    </row>
    <row r="822" spans="1:194" s="64" customFormat="1" ht="36" customHeight="1" x14ac:dyDescent="0.9">
      <c r="A822" s="64">
        <v>1</v>
      </c>
      <c r="B822" s="92">
        <f>SUBTOTAL(103,$A$548:A822)</f>
        <v>262</v>
      </c>
      <c r="C822" s="91" t="s">
        <v>692</v>
      </c>
      <c r="D822" s="126">
        <v>1993</v>
      </c>
      <c r="E822" s="126"/>
      <c r="F822" s="145" t="s">
        <v>319</v>
      </c>
      <c r="G822" s="126">
        <v>5</v>
      </c>
      <c r="H822" s="126">
        <v>5</v>
      </c>
      <c r="I822" s="117">
        <v>3247</v>
      </c>
      <c r="J822" s="117">
        <v>3245</v>
      </c>
      <c r="K822" s="117">
        <v>3245</v>
      </c>
      <c r="L822" s="127">
        <v>121</v>
      </c>
      <c r="M822" s="126" t="s">
        <v>271</v>
      </c>
      <c r="N822" s="126" t="s">
        <v>349</v>
      </c>
      <c r="O822" s="124" t="s">
        <v>745</v>
      </c>
      <c r="P822" s="118">
        <v>2541661.4500000002</v>
      </c>
      <c r="Q822" s="118">
        <v>0</v>
      </c>
      <c r="R822" s="118">
        <v>0</v>
      </c>
      <c r="S822" s="118">
        <f t="shared" ref="S822:S827" si="121">P822-Q822-R822</f>
        <v>2541661.4500000002</v>
      </c>
      <c r="T822" s="118">
        <f t="shared" si="119"/>
        <v>782.77223591007089</v>
      </c>
      <c r="U822" s="118">
        <f>Y822+AG822</f>
        <v>6809.8928736095368</v>
      </c>
      <c r="V822" s="183">
        <f t="shared" si="113"/>
        <v>6027.120637699466</v>
      </c>
      <c r="W822" s="183"/>
      <c r="X822" s="183"/>
      <c r="Y822" s="64">
        <f t="shared" si="114"/>
        <v>1527.7825685247922</v>
      </c>
      <c r="AA822" s="64">
        <f t="shared" si="115"/>
        <v>950</v>
      </c>
      <c r="AG822" s="64">
        <f>AH822*6191.24/J822</f>
        <v>5282.1103050847451</v>
      </c>
      <c r="AH822" s="64">
        <f t="shared" si="116"/>
        <v>2768.5</v>
      </c>
      <c r="AS822" s="64" t="e">
        <f t="shared" si="117"/>
        <v>#N/A</v>
      </c>
    </row>
    <row r="823" spans="1:194" s="64" customFormat="1" ht="36" customHeight="1" x14ac:dyDescent="0.9">
      <c r="A823" s="64">
        <v>1</v>
      </c>
      <c r="B823" s="92">
        <f>SUBTOTAL(103,$A$548:A823)</f>
        <v>263</v>
      </c>
      <c r="C823" s="91" t="s">
        <v>680</v>
      </c>
      <c r="D823" s="126">
        <v>1972</v>
      </c>
      <c r="E823" s="126"/>
      <c r="F823" s="145" t="s">
        <v>273</v>
      </c>
      <c r="G823" s="126">
        <v>5</v>
      </c>
      <c r="H823" s="126">
        <v>4</v>
      </c>
      <c r="I823" s="117">
        <v>5949.7</v>
      </c>
      <c r="J823" s="117">
        <v>3026.6</v>
      </c>
      <c r="K823" s="117">
        <v>2850.3</v>
      </c>
      <c r="L823" s="127">
        <v>117</v>
      </c>
      <c r="M823" s="126" t="s">
        <v>271</v>
      </c>
      <c r="N823" s="126" t="s">
        <v>275</v>
      </c>
      <c r="O823" s="124" t="s">
        <v>1114</v>
      </c>
      <c r="P823" s="118">
        <v>5370787.6200000001</v>
      </c>
      <c r="Q823" s="118">
        <v>0</v>
      </c>
      <c r="R823" s="118">
        <v>0</v>
      </c>
      <c r="S823" s="118">
        <f t="shared" si="121"/>
        <v>5370787.6200000001</v>
      </c>
      <c r="T823" s="118">
        <f t="shared" si="119"/>
        <v>902.69889574264255</v>
      </c>
      <c r="U823" s="118">
        <f>Y823</f>
        <v>971.56707060860219</v>
      </c>
      <c r="V823" s="183">
        <f t="shared" si="113"/>
        <v>68.868174865959645</v>
      </c>
      <c r="W823" s="183"/>
      <c r="X823" s="183"/>
      <c r="Y823" s="64">
        <f t="shared" si="114"/>
        <v>971.56707060860219</v>
      </c>
      <c r="AA823" s="64">
        <f t="shared" si="115"/>
        <v>1107</v>
      </c>
      <c r="AH823" s="64" t="e">
        <f t="shared" si="116"/>
        <v>#N/A</v>
      </c>
      <c r="AS823" s="64" t="e">
        <f t="shared" si="117"/>
        <v>#N/A</v>
      </c>
    </row>
    <row r="824" spans="1:194" s="64" customFormat="1" ht="36" customHeight="1" x14ac:dyDescent="0.9">
      <c r="A824" s="64">
        <v>1</v>
      </c>
      <c r="B824" s="92">
        <f>SUBTOTAL(103,$A$548:A824)</f>
        <v>264</v>
      </c>
      <c r="C824" s="91" t="s">
        <v>708</v>
      </c>
      <c r="D824" s="126">
        <v>1981</v>
      </c>
      <c r="E824" s="126"/>
      <c r="F824" s="145" t="s">
        <v>273</v>
      </c>
      <c r="G824" s="126">
        <v>2</v>
      </c>
      <c r="H824" s="126">
        <v>3</v>
      </c>
      <c r="I824" s="117">
        <v>843.1</v>
      </c>
      <c r="J824" s="117">
        <v>820.9</v>
      </c>
      <c r="K824" s="117">
        <v>820.9</v>
      </c>
      <c r="L824" s="127">
        <v>34</v>
      </c>
      <c r="M824" s="126" t="s">
        <v>271</v>
      </c>
      <c r="N824" s="126" t="s">
        <v>272</v>
      </c>
      <c r="O824" s="124" t="s">
        <v>274</v>
      </c>
      <c r="P824" s="118">
        <v>4073004</v>
      </c>
      <c r="Q824" s="118">
        <v>0</v>
      </c>
      <c r="R824" s="118">
        <v>0</v>
      </c>
      <c r="S824" s="118">
        <f t="shared" si="121"/>
        <v>4073004</v>
      </c>
      <c r="T824" s="118">
        <f t="shared" si="119"/>
        <v>4830.98564820306</v>
      </c>
      <c r="U824" s="118">
        <f>Y824</f>
        <v>4830.98564820306</v>
      </c>
      <c r="V824" s="183">
        <f t="shared" si="113"/>
        <v>0</v>
      </c>
      <c r="W824" s="183"/>
      <c r="X824" s="183"/>
      <c r="Y824" s="64">
        <f t="shared" si="114"/>
        <v>4830.98564820306</v>
      </c>
      <c r="AA824" s="64">
        <f t="shared" si="115"/>
        <v>780</v>
      </c>
      <c r="AH824" s="64" t="e">
        <f t="shared" si="116"/>
        <v>#N/A</v>
      </c>
      <c r="AS824" s="64" t="e">
        <f t="shared" si="117"/>
        <v>#N/A</v>
      </c>
    </row>
    <row r="825" spans="1:194" s="64" customFormat="1" ht="36" customHeight="1" x14ac:dyDescent="0.9">
      <c r="A825" s="64">
        <v>1</v>
      </c>
      <c r="B825" s="92">
        <f>SUBTOTAL(103,$A$548:A825)</f>
        <v>265</v>
      </c>
      <c r="C825" s="91" t="s">
        <v>685</v>
      </c>
      <c r="D825" s="126">
        <v>1940</v>
      </c>
      <c r="E825" s="126"/>
      <c r="F825" s="145" t="s">
        <v>273</v>
      </c>
      <c r="G825" s="126">
        <v>3</v>
      </c>
      <c r="H825" s="126">
        <v>3</v>
      </c>
      <c r="I825" s="117">
        <v>2521.1999999999998</v>
      </c>
      <c r="J825" s="117">
        <v>2421.1999999999998</v>
      </c>
      <c r="K825" s="117">
        <v>1980.9</v>
      </c>
      <c r="L825" s="127">
        <v>67</v>
      </c>
      <c r="M825" s="126" t="s">
        <v>271</v>
      </c>
      <c r="N825" s="126" t="s">
        <v>349</v>
      </c>
      <c r="O825" s="124" t="s">
        <v>746</v>
      </c>
      <c r="P825" s="118">
        <v>3707478</v>
      </c>
      <c r="Q825" s="118">
        <v>0</v>
      </c>
      <c r="R825" s="118">
        <v>0</v>
      </c>
      <c r="S825" s="118">
        <f t="shared" si="121"/>
        <v>3707478</v>
      </c>
      <c r="T825" s="118">
        <f t="shared" si="119"/>
        <v>1470.5211803902905</v>
      </c>
      <c r="U825" s="118">
        <f>Y825</f>
        <v>1470.5211803902905</v>
      </c>
      <c r="V825" s="183">
        <f t="shared" si="113"/>
        <v>0</v>
      </c>
      <c r="W825" s="183"/>
      <c r="X825" s="183"/>
      <c r="Y825" s="64">
        <f t="shared" si="114"/>
        <v>1470.5211803902905</v>
      </c>
      <c r="AA825" s="64">
        <f t="shared" si="115"/>
        <v>710</v>
      </c>
      <c r="AH825" s="64" t="e">
        <f t="shared" si="116"/>
        <v>#N/A</v>
      </c>
      <c r="AS825" s="64" t="e">
        <f t="shared" si="117"/>
        <v>#N/A</v>
      </c>
    </row>
    <row r="826" spans="1:194" s="64" customFormat="1" ht="36" customHeight="1" x14ac:dyDescent="0.9">
      <c r="A826" s="64">
        <v>1</v>
      </c>
      <c r="B826" s="92">
        <f>SUBTOTAL(103,$A$548:A826)</f>
        <v>266</v>
      </c>
      <c r="C826" s="91" t="s">
        <v>690</v>
      </c>
      <c r="D826" s="126">
        <v>1979</v>
      </c>
      <c r="E826" s="126"/>
      <c r="F826" s="145" t="s">
        <v>273</v>
      </c>
      <c r="G826" s="126">
        <v>2</v>
      </c>
      <c r="H826" s="126">
        <v>2</v>
      </c>
      <c r="I826" s="117">
        <v>1052.4000000000001</v>
      </c>
      <c r="J826" s="117">
        <v>930.4</v>
      </c>
      <c r="K826" s="117">
        <v>930.4</v>
      </c>
      <c r="L826" s="127">
        <v>24</v>
      </c>
      <c r="M826" s="126" t="s">
        <v>271</v>
      </c>
      <c r="N826" s="126" t="s">
        <v>303</v>
      </c>
      <c r="O826" s="124" t="s">
        <v>1111</v>
      </c>
      <c r="P826" s="118">
        <v>3916350</v>
      </c>
      <c r="Q826" s="118">
        <v>0</v>
      </c>
      <c r="R826" s="118">
        <v>0</v>
      </c>
      <c r="S826" s="118">
        <f t="shared" si="121"/>
        <v>3916350</v>
      </c>
      <c r="T826" s="118">
        <f t="shared" si="119"/>
        <v>3721.3511972633978</v>
      </c>
      <c r="U826" s="118">
        <f>Y826</f>
        <v>3721.3511972633978</v>
      </c>
      <c r="V826" s="183">
        <f t="shared" si="113"/>
        <v>0</v>
      </c>
      <c r="W826" s="183"/>
      <c r="X826" s="183"/>
      <c r="Y826" s="64">
        <f t="shared" si="114"/>
        <v>3721.3511972633978</v>
      </c>
      <c r="AA826" s="64">
        <f t="shared" si="115"/>
        <v>750</v>
      </c>
      <c r="AH826" s="64" t="e">
        <f t="shared" si="116"/>
        <v>#N/A</v>
      </c>
      <c r="AS826" s="64" t="e">
        <f t="shared" si="117"/>
        <v>#N/A</v>
      </c>
    </row>
    <row r="827" spans="1:194" s="64" customFormat="1" ht="36" customHeight="1" x14ac:dyDescent="0.9">
      <c r="A827" s="64">
        <v>1</v>
      </c>
      <c r="B827" s="92">
        <f>SUBTOTAL(103,$A$548:A827)</f>
        <v>267</v>
      </c>
      <c r="C827" s="91" t="s">
        <v>689</v>
      </c>
      <c r="D827" s="126">
        <v>1977</v>
      </c>
      <c r="E827" s="126"/>
      <c r="F827" s="145" t="s">
        <v>273</v>
      </c>
      <c r="G827" s="126">
        <v>5</v>
      </c>
      <c r="H827" s="126">
        <v>4</v>
      </c>
      <c r="I827" s="117">
        <v>2827.6</v>
      </c>
      <c r="J827" s="117">
        <v>1730.8</v>
      </c>
      <c r="K827" s="117">
        <v>1606.9</v>
      </c>
      <c r="L827" s="127">
        <v>123</v>
      </c>
      <c r="M827" s="126" t="s">
        <v>271</v>
      </c>
      <c r="N827" s="126" t="s">
        <v>275</v>
      </c>
      <c r="O827" s="124" t="s">
        <v>742</v>
      </c>
      <c r="P827" s="118">
        <v>3732731.75</v>
      </c>
      <c r="Q827" s="118">
        <v>0</v>
      </c>
      <c r="R827" s="118">
        <v>0</v>
      </c>
      <c r="S827" s="118">
        <f t="shared" si="121"/>
        <v>3732731.75</v>
      </c>
      <c r="T827" s="118">
        <f t="shared" si="119"/>
        <v>1320.1060086292262</v>
      </c>
      <c r="U827" s="118">
        <f>T827</f>
        <v>1320.1060086292262</v>
      </c>
      <c r="V827" s="183">
        <f t="shared" si="113"/>
        <v>0</v>
      </c>
      <c r="W827" s="183"/>
      <c r="X827" s="183"/>
      <c r="Y827" s="64">
        <f t="shared" si="114"/>
        <v>1302.8645848069034</v>
      </c>
      <c r="AA827" s="64">
        <f t="shared" si="115"/>
        <v>705.5</v>
      </c>
      <c r="AH827" s="64" t="e">
        <f t="shared" si="116"/>
        <v>#N/A</v>
      </c>
      <c r="AS827" s="64" t="e">
        <f t="shared" si="117"/>
        <v>#N/A</v>
      </c>
    </row>
    <row r="828" spans="1:194" s="64" customFormat="1" ht="36" customHeight="1" x14ac:dyDescent="0.9">
      <c r="B828" s="91" t="s">
        <v>849</v>
      </c>
      <c r="C828" s="172"/>
      <c r="D828" s="126" t="s">
        <v>916</v>
      </c>
      <c r="E828" s="126" t="s">
        <v>916</v>
      </c>
      <c r="F828" s="126" t="s">
        <v>916</v>
      </c>
      <c r="G828" s="126" t="s">
        <v>916</v>
      </c>
      <c r="H828" s="126" t="s">
        <v>916</v>
      </c>
      <c r="I828" s="117">
        <f>SUM(I829:I832)</f>
        <v>5990.6100000000006</v>
      </c>
      <c r="J828" s="117">
        <f>SUM(J829:J832)</f>
        <v>5829.6100000000006</v>
      </c>
      <c r="K828" s="117">
        <f>SUM(K829:K832)</f>
        <v>5747.31</v>
      </c>
      <c r="L828" s="127">
        <f>SUM(L829:L832)</f>
        <v>237</v>
      </c>
      <c r="M828" s="126" t="s">
        <v>916</v>
      </c>
      <c r="N828" s="126" t="s">
        <v>916</v>
      </c>
      <c r="O828" s="124" t="s">
        <v>916</v>
      </c>
      <c r="P828" s="117">
        <v>14656329.58</v>
      </c>
      <c r="Q828" s="117">
        <f>SUM(Q829:Q832)</f>
        <v>0</v>
      </c>
      <c r="R828" s="117">
        <f>SUM(R829:R832)</f>
        <v>0</v>
      </c>
      <c r="S828" s="117">
        <f>SUM(S829:S832)</f>
        <v>14656329.58</v>
      </c>
      <c r="T828" s="118">
        <f t="shared" si="119"/>
        <v>2446.550448117971</v>
      </c>
      <c r="U828" s="118">
        <f>MAX(U829:U830)</f>
        <v>4517.4808935361225</v>
      </c>
      <c r="V828" s="183">
        <f t="shared" si="113"/>
        <v>2070.9304454181515</v>
      </c>
      <c r="W828" s="183"/>
      <c r="X828" s="183"/>
      <c r="Y828" s="64" t="e">
        <f t="shared" si="114"/>
        <v>#N/A</v>
      </c>
      <c r="AA828" s="64" t="e">
        <f t="shared" si="115"/>
        <v>#N/A</v>
      </c>
      <c r="AH828" s="64" t="e">
        <f t="shared" si="116"/>
        <v>#N/A</v>
      </c>
      <c r="AS828" s="64" t="e">
        <f t="shared" si="117"/>
        <v>#N/A</v>
      </c>
    </row>
    <row r="829" spans="1:194" s="64" customFormat="1" ht="36" customHeight="1" x14ac:dyDescent="0.9">
      <c r="A829" s="64">
        <v>1</v>
      </c>
      <c r="B829" s="92">
        <f>SUBTOTAL(103,$A$548:A829)</f>
        <v>268</v>
      </c>
      <c r="C829" s="91" t="s">
        <v>240</v>
      </c>
      <c r="D829" s="126">
        <v>1973</v>
      </c>
      <c r="E829" s="126"/>
      <c r="F829" s="145" t="s">
        <v>273</v>
      </c>
      <c r="G829" s="126">
        <v>5</v>
      </c>
      <c r="H829" s="126">
        <v>6</v>
      </c>
      <c r="I829" s="117">
        <v>4403.51</v>
      </c>
      <c r="J829" s="117">
        <v>4403.51</v>
      </c>
      <c r="K829" s="117">
        <v>4403.51</v>
      </c>
      <c r="L829" s="127">
        <v>179</v>
      </c>
      <c r="M829" s="126" t="s">
        <v>271</v>
      </c>
      <c r="N829" s="126" t="s">
        <v>275</v>
      </c>
      <c r="O829" s="124" t="s">
        <v>342</v>
      </c>
      <c r="P829" s="118">
        <v>7695900</v>
      </c>
      <c r="Q829" s="118">
        <v>0</v>
      </c>
      <c r="R829" s="118">
        <v>0</v>
      </c>
      <c r="S829" s="118">
        <f>P829-Q829-R829</f>
        <v>7695900</v>
      </c>
      <c r="T829" s="118">
        <f t="shared" si="119"/>
        <v>1747.6740145929043</v>
      </c>
      <c r="U829" s="118">
        <f>Y829</f>
        <v>1789.4125822355347</v>
      </c>
      <c r="V829" s="183">
        <f t="shared" si="113"/>
        <v>41.738567642630414</v>
      </c>
      <c r="W829" s="183"/>
      <c r="X829" s="183"/>
      <c r="Y829" s="64">
        <f t="shared" si="114"/>
        <v>1789.4125822355347</v>
      </c>
      <c r="AA829" s="64">
        <f t="shared" si="115"/>
        <v>1509</v>
      </c>
      <c r="AH829" s="64" t="e">
        <f t="shared" si="116"/>
        <v>#N/A</v>
      </c>
      <c r="AS829" s="64" t="e">
        <f t="shared" si="117"/>
        <v>#N/A</v>
      </c>
    </row>
    <row r="830" spans="1:194" s="64" customFormat="1" ht="36" customHeight="1" x14ac:dyDescent="0.9">
      <c r="A830" s="64">
        <v>1</v>
      </c>
      <c r="B830" s="92">
        <f>SUBTOTAL(103,$A$548:A830)</f>
        <v>269</v>
      </c>
      <c r="C830" s="91" t="s">
        <v>245</v>
      </c>
      <c r="D830" s="126">
        <v>1989</v>
      </c>
      <c r="E830" s="126"/>
      <c r="F830" s="145" t="s">
        <v>273</v>
      </c>
      <c r="G830" s="126">
        <v>2</v>
      </c>
      <c r="H830" s="126">
        <v>3</v>
      </c>
      <c r="I830" s="117">
        <v>946.8</v>
      </c>
      <c r="J830" s="117">
        <v>859.3</v>
      </c>
      <c r="K830" s="117">
        <v>816</v>
      </c>
      <c r="L830" s="127">
        <v>34</v>
      </c>
      <c r="M830" s="126" t="s">
        <v>271</v>
      </c>
      <c r="N830" s="126" t="s">
        <v>275</v>
      </c>
      <c r="O830" s="124" t="s">
        <v>341</v>
      </c>
      <c r="P830" s="118">
        <v>4277150.91</v>
      </c>
      <c r="Q830" s="118">
        <v>0</v>
      </c>
      <c r="R830" s="118">
        <v>0</v>
      </c>
      <c r="S830" s="118">
        <f>P830-Q830-R830</f>
        <v>4277150.91</v>
      </c>
      <c r="T830" s="118">
        <f t="shared" si="119"/>
        <v>4517.4808935361225</v>
      </c>
      <c r="U830" s="118">
        <v>4517.4808935361225</v>
      </c>
      <c r="V830" s="183">
        <f t="shared" si="113"/>
        <v>0</v>
      </c>
      <c r="W830" s="183"/>
      <c r="X830" s="183"/>
      <c r="Y830" s="64" t="e">
        <f t="shared" si="114"/>
        <v>#N/A</v>
      </c>
      <c r="AA830" s="64" t="e">
        <f t="shared" si="115"/>
        <v>#N/A</v>
      </c>
      <c r="AH830" s="64" t="e">
        <f t="shared" si="116"/>
        <v>#N/A</v>
      </c>
      <c r="AS830" s="64" t="e">
        <f t="shared" si="117"/>
        <v>#N/A</v>
      </c>
    </row>
    <row r="831" spans="1:194" s="64" customFormat="1" ht="36" customHeight="1" x14ac:dyDescent="0.9">
      <c r="A831" s="64">
        <v>1</v>
      </c>
      <c r="B831" s="92">
        <f>SUBTOTAL(103,$A$548:A831)</f>
        <v>270</v>
      </c>
      <c r="C831" s="91" t="s">
        <v>1660</v>
      </c>
      <c r="D831" s="126">
        <v>1986</v>
      </c>
      <c r="E831" s="126"/>
      <c r="F831" s="145" t="s">
        <v>338</v>
      </c>
      <c r="G831" s="126">
        <v>2</v>
      </c>
      <c r="H831" s="126">
        <v>1</v>
      </c>
      <c r="I831" s="117">
        <v>324</v>
      </c>
      <c r="J831" s="117">
        <v>250.5</v>
      </c>
      <c r="K831" s="117">
        <f>J831</f>
        <v>250.5</v>
      </c>
      <c r="L831" s="127">
        <v>15</v>
      </c>
      <c r="M831" s="126" t="s">
        <v>271</v>
      </c>
      <c r="N831" s="126" t="s">
        <v>275</v>
      </c>
      <c r="O831" s="124" t="s">
        <v>341</v>
      </c>
      <c r="P831" s="118">
        <v>1462104</v>
      </c>
      <c r="Q831" s="118">
        <v>0</v>
      </c>
      <c r="R831" s="118">
        <v>0</v>
      </c>
      <c r="S831" s="118">
        <f>P831-Q831-R831</f>
        <v>1462104</v>
      </c>
      <c r="T831" s="118">
        <f>P831/I986</f>
        <v>1294.1263940520446</v>
      </c>
      <c r="U831" s="118">
        <f>Y831</f>
        <v>4512.666666666667</v>
      </c>
      <c r="V831" s="183">
        <f t="shared" si="113"/>
        <v>3218.5402726146222</v>
      </c>
      <c r="W831" s="183"/>
      <c r="X831" s="183"/>
      <c r="Y831" s="64">
        <f t="shared" si="114"/>
        <v>4512.666666666667</v>
      </c>
      <c r="AA831" s="64">
        <f t="shared" si="115"/>
        <v>280</v>
      </c>
      <c r="AH831" s="64" t="e">
        <f t="shared" si="116"/>
        <v>#N/A</v>
      </c>
      <c r="AS831" s="64" t="e">
        <f t="shared" si="117"/>
        <v>#N/A</v>
      </c>
    </row>
    <row r="832" spans="1:194" s="64" customFormat="1" ht="36" customHeight="1" x14ac:dyDescent="0.9">
      <c r="A832" s="64">
        <v>1</v>
      </c>
      <c r="B832" s="92">
        <f>SUBTOTAL(103,$A$548:A832)</f>
        <v>271</v>
      </c>
      <c r="C832" s="91" t="s">
        <v>1661</v>
      </c>
      <c r="D832" s="126">
        <v>1985</v>
      </c>
      <c r="E832" s="126"/>
      <c r="F832" s="145" t="s">
        <v>1374</v>
      </c>
      <c r="G832" s="126">
        <v>2</v>
      </c>
      <c r="H832" s="126">
        <v>1</v>
      </c>
      <c r="I832" s="117">
        <v>316.3</v>
      </c>
      <c r="J832" s="117">
        <v>316.3</v>
      </c>
      <c r="K832" s="117">
        <f>J832-39</f>
        <v>277.3</v>
      </c>
      <c r="L832" s="127">
        <v>9</v>
      </c>
      <c r="M832" s="126" t="s">
        <v>271</v>
      </c>
      <c r="N832" s="126" t="s">
        <v>275</v>
      </c>
      <c r="O832" s="124" t="s">
        <v>342</v>
      </c>
      <c r="P832" s="118">
        <v>1221174.67</v>
      </c>
      <c r="Q832" s="118">
        <v>0</v>
      </c>
      <c r="R832" s="118">
        <v>0</v>
      </c>
      <c r="S832" s="118">
        <f>P832-Q832-R832</f>
        <v>1221174.67</v>
      </c>
      <c r="T832" s="118">
        <f>P832/I987</f>
        <v>303.20910490378645</v>
      </c>
      <c r="U832" s="118">
        <v>10692.45</v>
      </c>
      <c r="V832" s="183">
        <f t="shared" si="113"/>
        <v>10389.240895096214</v>
      </c>
      <c r="W832" s="183"/>
      <c r="X832" s="183"/>
      <c r="Y832" s="64" t="e">
        <f t="shared" si="114"/>
        <v>#N/A</v>
      </c>
      <c r="AA832" s="64" t="e">
        <f t="shared" si="115"/>
        <v>#N/A</v>
      </c>
      <c r="AH832" s="64" t="e">
        <f t="shared" si="116"/>
        <v>#N/A</v>
      </c>
      <c r="AS832" s="64" t="e">
        <f t="shared" si="117"/>
        <v>#N/A</v>
      </c>
    </row>
    <row r="833" spans="1:45" s="64" customFormat="1" ht="36" customHeight="1" x14ac:dyDescent="0.9">
      <c r="B833" s="91" t="s">
        <v>1311</v>
      </c>
      <c r="C833" s="91"/>
      <c r="D833" s="126" t="s">
        <v>916</v>
      </c>
      <c r="E833" s="126" t="s">
        <v>916</v>
      </c>
      <c r="F833" s="126" t="s">
        <v>916</v>
      </c>
      <c r="G833" s="126" t="s">
        <v>916</v>
      </c>
      <c r="H833" s="126" t="s">
        <v>916</v>
      </c>
      <c r="I833" s="117">
        <f>I834</f>
        <v>1322.4</v>
      </c>
      <c r="J833" s="117">
        <f>J834</f>
        <v>1191.4000000000001</v>
      </c>
      <c r="K833" s="117">
        <f>K834</f>
        <v>1136.8000000000002</v>
      </c>
      <c r="L833" s="127">
        <f>L834</f>
        <v>36</v>
      </c>
      <c r="M833" s="126" t="s">
        <v>916</v>
      </c>
      <c r="N833" s="126" t="s">
        <v>916</v>
      </c>
      <c r="O833" s="124" t="s">
        <v>916</v>
      </c>
      <c r="P833" s="118">
        <v>3284631.43</v>
      </c>
      <c r="Q833" s="118">
        <f>Q834</f>
        <v>0</v>
      </c>
      <c r="R833" s="118">
        <f>R834</f>
        <v>0</v>
      </c>
      <c r="S833" s="118">
        <f>S834</f>
        <v>3284631.43</v>
      </c>
      <c r="T833" s="118">
        <f t="shared" si="119"/>
        <v>2483.8410692679977</v>
      </c>
      <c r="U833" s="118">
        <f>U834</f>
        <v>4377.4155836830614</v>
      </c>
      <c r="V833" s="183">
        <f t="shared" si="113"/>
        <v>1893.5745144150637</v>
      </c>
      <c r="W833" s="183"/>
      <c r="X833" s="183"/>
      <c r="Y833" s="64" t="e">
        <f t="shared" si="114"/>
        <v>#N/A</v>
      </c>
      <c r="AA833" s="64" t="e">
        <f t="shared" si="115"/>
        <v>#N/A</v>
      </c>
      <c r="AH833" s="64" t="e">
        <f t="shared" si="116"/>
        <v>#N/A</v>
      </c>
      <c r="AS833" s="64" t="e">
        <f t="shared" si="117"/>
        <v>#N/A</v>
      </c>
    </row>
    <row r="834" spans="1:45" s="64" customFormat="1" ht="36" customHeight="1" x14ac:dyDescent="0.9">
      <c r="A834" s="64">
        <v>1</v>
      </c>
      <c r="B834" s="92">
        <f>SUBTOTAL(103,$A$548:A834)</f>
        <v>272</v>
      </c>
      <c r="C834" s="91" t="s">
        <v>1312</v>
      </c>
      <c r="D834" s="126">
        <v>1981</v>
      </c>
      <c r="E834" s="126"/>
      <c r="F834" s="145" t="s">
        <v>326</v>
      </c>
      <c r="G834" s="126">
        <v>2</v>
      </c>
      <c r="H834" s="126">
        <v>4</v>
      </c>
      <c r="I834" s="117">
        <v>1322.4</v>
      </c>
      <c r="J834" s="117">
        <v>1191.4000000000001</v>
      </c>
      <c r="K834" s="117">
        <v>1136.8000000000002</v>
      </c>
      <c r="L834" s="127">
        <v>36</v>
      </c>
      <c r="M834" s="126" t="s">
        <v>271</v>
      </c>
      <c r="N834" s="126" t="s">
        <v>272</v>
      </c>
      <c r="O834" s="124" t="s">
        <v>274</v>
      </c>
      <c r="P834" s="118">
        <v>3284631.43</v>
      </c>
      <c r="Q834" s="118">
        <v>0</v>
      </c>
      <c r="R834" s="118">
        <v>0</v>
      </c>
      <c r="S834" s="118">
        <f>P834-Q834-R834</f>
        <v>3284631.43</v>
      </c>
      <c r="T834" s="118">
        <f t="shared" si="119"/>
        <v>2483.8410692679977</v>
      </c>
      <c r="U834" s="118">
        <f>AG834</f>
        <v>4377.4155836830614</v>
      </c>
      <c r="V834" s="183">
        <f t="shared" si="113"/>
        <v>1893.5745144150637</v>
      </c>
      <c r="W834" s="183"/>
      <c r="X834" s="183"/>
      <c r="Y834" s="64" t="e">
        <f t="shared" si="114"/>
        <v>#N/A</v>
      </c>
      <c r="AA834" s="64" t="e">
        <f t="shared" si="115"/>
        <v>#N/A</v>
      </c>
      <c r="AG834" s="64">
        <f>AH834*6191.24/J834</f>
        <v>4377.4155836830614</v>
      </c>
      <c r="AH834" s="64">
        <f t="shared" si="116"/>
        <v>842.36</v>
      </c>
      <c r="AS834" s="64" t="e">
        <f t="shared" si="117"/>
        <v>#N/A</v>
      </c>
    </row>
    <row r="835" spans="1:45" s="64" customFormat="1" ht="36" customHeight="1" x14ac:dyDescent="0.9">
      <c r="B835" s="91" t="s">
        <v>892</v>
      </c>
      <c r="C835" s="91"/>
      <c r="D835" s="126" t="s">
        <v>916</v>
      </c>
      <c r="E835" s="126" t="s">
        <v>916</v>
      </c>
      <c r="F835" s="126" t="s">
        <v>916</v>
      </c>
      <c r="G835" s="126" t="s">
        <v>916</v>
      </c>
      <c r="H835" s="126" t="s">
        <v>916</v>
      </c>
      <c r="I835" s="117">
        <f>I836</f>
        <v>924.3</v>
      </c>
      <c r="J835" s="117">
        <f>J836</f>
        <v>558.9</v>
      </c>
      <c r="K835" s="117">
        <f>K836</f>
        <v>527.1</v>
      </c>
      <c r="L835" s="127">
        <f>L836</f>
        <v>24</v>
      </c>
      <c r="M835" s="126" t="s">
        <v>916</v>
      </c>
      <c r="N835" s="126" t="s">
        <v>916</v>
      </c>
      <c r="O835" s="124" t="s">
        <v>916</v>
      </c>
      <c r="P835" s="118">
        <v>2255220</v>
      </c>
      <c r="Q835" s="118">
        <f>Q836</f>
        <v>0</v>
      </c>
      <c r="R835" s="118">
        <f>R836</f>
        <v>0</v>
      </c>
      <c r="S835" s="118">
        <f>S836</f>
        <v>2255220</v>
      </c>
      <c r="T835" s="118">
        <f t="shared" si="119"/>
        <v>2439.9221032132427</v>
      </c>
      <c r="U835" s="118">
        <f>U836</f>
        <v>2498.1931840311586</v>
      </c>
      <c r="V835" s="183">
        <f t="shared" si="113"/>
        <v>58.271080817915845</v>
      </c>
      <c r="W835" s="183"/>
      <c r="X835" s="183"/>
      <c r="Y835" s="64" t="e">
        <f t="shared" si="114"/>
        <v>#N/A</v>
      </c>
      <c r="AA835" s="64" t="e">
        <f t="shared" si="115"/>
        <v>#N/A</v>
      </c>
      <c r="AH835" s="64" t="e">
        <f t="shared" si="116"/>
        <v>#N/A</v>
      </c>
      <c r="AS835" s="64" t="e">
        <f t="shared" si="117"/>
        <v>#N/A</v>
      </c>
    </row>
    <row r="836" spans="1:45" s="64" customFormat="1" ht="36" customHeight="1" x14ac:dyDescent="0.9">
      <c r="A836" s="64">
        <v>1</v>
      </c>
      <c r="B836" s="92">
        <f>SUBTOTAL(103,$A$548:A836)</f>
        <v>273</v>
      </c>
      <c r="C836" s="91" t="s">
        <v>247</v>
      </c>
      <c r="D836" s="126">
        <v>1986</v>
      </c>
      <c r="E836" s="126"/>
      <c r="F836" s="145" t="s">
        <v>319</v>
      </c>
      <c r="G836" s="126">
        <v>2</v>
      </c>
      <c r="H836" s="126">
        <v>2</v>
      </c>
      <c r="I836" s="117">
        <v>924.3</v>
      </c>
      <c r="J836" s="117">
        <v>558.9</v>
      </c>
      <c r="K836" s="117">
        <v>527.1</v>
      </c>
      <c r="L836" s="127">
        <v>24</v>
      </c>
      <c r="M836" s="126" t="s">
        <v>271</v>
      </c>
      <c r="N836" s="126" t="s">
        <v>272</v>
      </c>
      <c r="O836" s="124" t="s">
        <v>274</v>
      </c>
      <c r="P836" s="118">
        <v>2255220</v>
      </c>
      <c r="Q836" s="118">
        <v>0</v>
      </c>
      <c r="R836" s="118">
        <v>0</v>
      </c>
      <c r="S836" s="118">
        <f>P836-Q836-R836</f>
        <v>2255220</v>
      </c>
      <c r="T836" s="118">
        <f t="shared" si="119"/>
        <v>2439.9221032132427</v>
      </c>
      <c r="U836" s="118">
        <f>Y836</f>
        <v>2498.1931840311586</v>
      </c>
      <c r="V836" s="183">
        <f t="shared" si="113"/>
        <v>58.271080817915845</v>
      </c>
      <c r="W836" s="183"/>
      <c r="X836" s="183"/>
      <c r="Y836" s="64">
        <f t="shared" si="114"/>
        <v>2498.1931840311586</v>
      </c>
      <c r="AA836" s="64">
        <f t="shared" si="115"/>
        <v>442.2</v>
      </c>
      <c r="AH836" s="64" t="e">
        <f t="shared" si="116"/>
        <v>#N/A</v>
      </c>
      <c r="AS836" s="64" t="e">
        <f t="shared" si="117"/>
        <v>#N/A</v>
      </c>
    </row>
    <row r="837" spans="1:45" s="64" customFormat="1" ht="36" customHeight="1" x14ac:dyDescent="0.9">
      <c r="B837" s="91" t="s">
        <v>893</v>
      </c>
      <c r="C837" s="173"/>
      <c r="D837" s="126" t="s">
        <v>916</v>
      </c>
      <c r="E837" s="126" t="s">
        <v>916</v>
      </c>
      <c r="F837" s="126" t="s">
        <v>916</v>
      </c>
      <c r="G837" s="126" t="s">
        <v>916</v>
      </c>
      <c r="H837" s="126" t="s">
        <v>916</v>
      </c>
      <c r="I837" s="117">
        <f>I838</f>
        <v>622.4</v>
      </c>
      <c r="J837" s="117">
        <f>J838</f>
        <v>576.29999999999995</v>
      </c>
      <c r="K837" s="117">
        <f>K838</f>
        <v>453.4</v>
      </c>
      <c r="L837" s="127">
        <f>L838</f>
        <v>35</v>
      </c>
      <c r="M837" s="126" t="s">
        <v>916</v>
      </c>
      <c r="N837" s="126" t="s">
        <v>916</v>
      </c>
      <c r="O837" s="124" t="s">
        <v>916</v>
      </c>
      <c r="P837" s="118">
        <v>2610900</v>
      </c>
      <c r="Q837" s="118">
        <f>Q838</f>
        <v>0</v>
      </c>
      <c r="R837" s="118">
        <f>R838</f>
        <v>0</v>
      </c>
      <c r="S837" s="118">
        <f>S838</f>
        <v>2610900</v>
      </c>
      <c r="T837" s="118">
        <f t="shared" si="119"/>
        <v>4194.8907455012859</v>
      </c>
      <c r="U837" s="118">
        <f>U838</f>
        <v>4194.8907455012859</v>
      </c>
      <c r="V837" s="183">
        <f t="shared" si="113"/>
        <v>0</v>
      </c>
      <c r="W837" s="183"/>
      <c r="X837" s="183"/>
      <c r="Y837" s="64" t="e">
        <f t="shared" si="114"/>
        <v>#N/A</v>
      </c>
      <c r="AA837" s="64" t="e">
        <f t="shared" si="115"/>
        <v>#N/A</v>
      </c>
      <c r="AH837" s="64" t="e">
        <f t="shared" si="116"/>
        <v>#N/A</v>
      </c>
      <c r="AS837" s="64" t="e">
        <f t="shared" si="117"/>
        <v>#N/A</v>
      </c>
    </row>
    <row r="838" spans="1:45" s="64" customFormat="1" ht="36" customHeight="1" x14ac:dyDescent="0.9">
      <c r="A838" s="64">
        <v>1</v>
      </c>
      <c r="B838" s="92">
        <f>SUBTOTAL(103,$A$548:A838)</f>
        <v>274</v>
      </c>
      <c r="C838" s="93" t="s">
        <v>2</v>
      </c>
      <c r="D838" s="126">
        <v>1963</v>
      </c>
      <c r="E838" s="126"/>
      <c r="F838" s="145" t="s">
        <v>273</v>
      </c>
      <c r="G838" s="126">
        <v>2</v>
      </c>
      <c r="H838" s="126">
        <v>2</v>
      </c>
      <c r="I838" s="117">
        <v>622.4</v>
      </c>
      <c r="J838" s="117">
        <v>576.29999999999995</v>
      </c>
      <c r="K838" s="117">
        <v>453.4</v>
      </c>
      <c r="L838" s="127">
        <v>35</v>
      </c>
      <c r="M838" s="126" t="s">
        <v>271</v>
      </c>
      <c r="N838" s="126" t="s">
        <v>272</v>
      </c>
      <c r="O838" s="124" t="s">
        <v>274</v>
      </c>
      <c r="P838" s="118">
        <v>2610900</v>
      </c>
      <c r="Q838" s="118">
        <v>0</v>
      </c>
      <c r="R838" s="118">
        <v>0</v>
      </c>
      <c r="S838" s="118">
        <f>P838-Q838-R838</f>
        <v>2610900</v>
      </c>
      <c r="T838" s="118">
        <f t="shared" si="119"/>
        <v>4194.8907455012859</v>
      </c>
      <c r="U838" s="118">
        <f>Y838</f>
        <v>4194.8907455012859</v>
      </c>
      <c r="V838" s="183">
        <f t="shared" si="113"/>
        <v>0</v>
      </c>
      <c r="W838" s="183"/>
      <c r="X838" s="183"/>
      <c r="Y838" s="64">
        <f t="shared" si="114"/>
        <v>4194.8907455012859</v>
      </c>
      <c r="AA838" s="64">
        <f t="shared" si="115"/>
        <v>500</v>
      </c>
      <c r="AH838" s="64" t="e">
        <f t="shared" si="116"/>
        <v>#N/A</v>
      </c>
      <c r="AS838" s="64" t="e">
        <f t="shared" si="117"/>
        <v>#N/A</v>
      </c>
    </row>
    <row r="839" spans="1:45" s="64" customFormat="1" ht="36" customHeight="1" x14ac:dyDescent="0.9">
      <c r="B839" s="91" t="s">
        <v>894</v>
      </c>
      <c r="C839" s="93"/>
      <c r="D839" s="126" t="s">
        <v>916</v>
      </c>
      <c r="E839" s="126" t="s">
        <v>916</v>
      </c>
      <c r="F839" s="126" t="s">
        <v>916</v>
      </c>
      <c r="G839" s="126" t="s">
        <v>916</v>
      </c>
      <c r="H839" s="126" t="s">
        <v>916</v>
      </c>
      <c r="I839" s="117">
        <f>I840</f>
        <v>531.9</v>
      </c>
      <c r="J839" s="117">
        <f>J840</f>
        <v>471.5</v>
      </c>
      <c r="K839" s="117">
        <f>K840</f>
        <v>438.4</v>
      </c>
      <c r="L839" s="127">
        <f>L840</f>
        <v>22</v>
      </c>
      <c r="M839" s="126" t="s">
        <v>916</v>
      </c>
      <c r="N839" s="126" t="s">
        <v>916</v>
      </c>
      <c r="O839" s="124" t="s">
        <v>916</v>
      </c>
      <c r="P839" s="118">
        <v>3133080</v>
      </c>
      <c r="Q839" s="118">
        <f>Q840</f>
        <v>0</v>
      </c>
      <c r="R839" s="118">
        <f>R840</f>
        <v>0</v>
      </c>
      <c r="S839" s="118">
        <f>S840</f>
        <v>3133080</v>
      </c>
      <c r="T839" s="118">
        <f t="shared" si="119"/>
        <v>5890.3553299492387</v>
      </c>
      <c r="U839" s="118">
        <f>U840</f>
        <v>5890.3553299492387</v>
      </c>
      <c r="V839" s="183">
        <f t="shared" si="113"/>
        <v>0</v>
      </c>
      <c r="W839" s="183"/>
      <c r="X839" s="183"/>
      <c r="Y839" s="64" t="e">
        <f t="shared" si="114"/>
        <v>#N/A</v>
      </c>
      <c r="AA839" s="64" t="e">
        <f t="shared" si="115"/>
        <v>#N/A</v>
      </c>
      <c r="AH839" s="64" t="e">
        <f t="shared" si="116"/>
        <v>#N/A</v>
      </c>
      <c r="AS839" s="64" t="e">
        <f t="shared" si="117"/>
        <v>#N/A</v>
      </c>
    </row>
    <row r="840" spans="1:45" s="64" customFormat="1" ht="36" customHeight="1" x14ac:dyDescent="0.9">
      <c r="A840" s="64">
        <v>1</v>
      </c>
      <c r="B840" s="92">
        <f>SUBTOTAL(103,$A$548:A840)</f>
        <v>275</v>
      </c>
      <c r="C840" s="93" t="s">
        <v>1</v>
      </c>
      <c r="D840" s="126">
        <v>1962</v>
      </c>
      <c r="E840" s="126"/>
      <c r="F840" s="145" t="s">
        <v>273</v>
      </c>
      <c r="G840" s="126">
        <v>2</v>
      </c>
      <c r="H840" s="126">
        <v>2</v>
      </c>
      <c r="I840" s="117">
        <v>531.9</v>
      </c>
      <c r="J840" s="117">
        <v>471.5</v>
      </c>
      <c r="K840" s="117">
        <v>438.4</v>
      </c>
      <c r="L840" s="127">
        <v>22</v>
      </c>
      <c r="M840" s="126" t="s">
        <v>271</v>
      </c>
      <c r="N840" s="126" t="s">
        <v>272</v>
      </c>
      <c r="O840" s="124" t="s">
        <v>274</v>
      </c>
      <c r="P840" s="118">
        <v>3133080</v>
      </c>
      <c r="Q840" s="118">
        <v>0</v>
      </c>
      <c r="R840" s="118">
        <v>0</v>
      </c>
      <c r="S840" s="118">
        <f>P840-Q840-R840</f>
        <v>3133080</v>
      </c>
      <c r="T840" s="118">
        <f t="shared" si="119"/>
        <v>5890.3553299492387</v>
      </c>
      <c r="U840" s="118">
        <f>Y840</f>
        <v>5890.3553299492387</v>
      </c>
      <c r="V840" s="183">
        <f t="shared" si="113"/>
        <v>0</v>
      </c>
      <c r="W840" s="183"/>
      <c r="X840" s="183"/>
      <c r="Y840" s="64">
        <f t="shared" si="114"/>
        <v>5890.3553299492387</v>
      </c>
      <c r="AA840" s="64">
        <f t="shared" si="115"/>
        <v>600</v>
      </c>
      <c r="AH840" s="64" t="e">
        <f t="shared" si="116"/>
        <v>#N/A</v>
      </c>
      <c r="AS840" s="64" t="e">
        <f t="shared" si="117"/>
        <v>#N/A</v>
      </c>
    </row>
    <row r="841" spans="1:45" s="64" customFormat="1" ht="36" customHeight="1" x14ac:dyDescent="0.9">
      <c r="B841" s="91" t="s">
        <v>853</v>
      </c>
      <c r="C841" s="172"/>
      <c r="D841" s="126" t="s">
        <v>916</v>
      </c>
      <c r="E841" s="126" t="s">
        <v>916</v>
      </c>
      <c r="F841" s="126" t="s">
        <v>916</v>
      </c>
      <c r="G841" s="126" t="s">
        <v>916</v>
      </c>
      <c r="H841" s="126" t="s">
        <v>916</v>
      </c>
      <c r="I841" s="117">
        <f>I842</f>
        <v>7845.75</v>
      </c>
      <c r="J841" s="117">
        <f>J842</f>
        <v>6087.05</v>
      </c>
      <c r="K841" s="117">
        <f>K842</f>
        <v>5920.85</v>
      </c>
      <c r="L841" s="127">
        <f>L842</f>
        <v>225</v>
      </c>
      <c r="M841" s="126" t="s">
        <v>916</v>
      </c>
      <c r="N841" s="126" t="s">
        <v>916</v>
      </c>
      <c r="O841" s="124" t="s">
        <v>916</v>
      </c>
      <c r="P841" s="118">
        <v>8458120</v>
      </c>
      <c r="Q841" s="118">
        <f>Q842</f>
        <v>0</v>
      </c>
      <c r="R841" s="118">
        <f>R842</f>
        <v>0</v>
      </c>
      <c r="S841" s="118">
        <f>S842</f>
        <v>8458120</v>
      </c>
      <c r="T841" s="118">
        <f t="shared" si="119"/>
        <v>1078.0511742025938</v>
      </c>
      <c r="U841" s="118">
        <f>U842</f>
        <v>1331.1155721250359</v>
      </c>
      <c r="V841" s="183">
        <f t="shared" si="113"/>
        <v>253.06439792244214</v>
      </c>
      <c r="W841" s="183"/>
      <c r="X841" s="183"/>
      <c r="Y841" s="64" t="e">
        <f t="shared" si="114"/>
        <v>#N/A</v>
      </c>
      <c r="AA841" s="64" t="e">
        <f t="shared" si="115"/>
        <v>#N/A</v>
      </c>
      <c r="AH841" s="64" t="e">
        <f t="shared" si="116"/>
        <v>#N/A</v>
      </c>
      <c r="AS841" s="64" t="e">
        <f t="shared" si="117"/>
        <v>#N/A</v>
      </c>
    </row>
    <row r="842" spans="1:45" s="64" customFormat="1" ht="36" customHeight="1" x14ac:dyDescent="0.9">
      <c r="A842" s="64">
        <v>1</v>
      </c>
      <c r="B842" s="92">
        <f>SUBTOTAL(103,$A$548:A842)</f>
        <v>276</v>
      </c>
      <c r="C842" s="91" t="s">
        <v>718</v>
      </c>
      <c r="D842" s="126">
        <v>1973</v>
      </c>
      <c r="E842" s="126">
        <v>1973</v>
      </c>
      <c r="F842" s="145" t="s">
        <v>326</v>
      </c>
      <c r="G842" s="126">
        <v>5</v>
      </c>
      <c r="H842" s="126">
        <v>8</v>
      </c>
      <c r="I842" s="117">
        <v>7845.75</v>
      </c>
      <c r="J842" s="117">
        <v>6087.05</v>
      </c>
      <c r="K842" s="117">
        <v>5920.85</v>
      </c>
      <c r="L842" s="127">
        <v>225</v>
      </c>
      <c r="M842" s="126" t="s">
        <v>271</v>
      </c>
      <c r="N842" s="126" t="s">
        <v>275</v>
      </c>
      <c r="O842" s="124" t="s">
        <v>752</v>
      </c>
      <c r="P842" s="118">
        <v>8458120</v>
      </c>
      <c r="Q842" s="118">
        <v>0</v>
      </c>
      <c r="R842" s="118">
        <v>0</v>
      </c>
      <c r="S842" s="118">
        <f>P842-Q842-R842</f>
        <v>8458120</v>
      </c>
      <c r="T842" s="118">
        <f t="shared" si="119"/>
        <v>1078.0511742025938</v>
      </c>
      <c r="U842" s="118">
        <f>Y842</f>
        <v>1331.1155721250359</v>
      </c>
      <c r="V842" s="183">
        <f t="shared" si="113"/>
        <v>253.06439792244214</v>
      </c>
      <c r="W842" s="183"/>
      <c r="X842" s="183"/>
      <c r="Y842" s="64">
        <f t="shared" si="114"/>
        <v>1331.1155721250359</v>
      </c>
      <c r="AA842" s="64">
        <f t="shared" si="115"/>
        <v>2000</v>
      </c>
      <c r="AH842" s="64" t="e">
        <f t="shared" si="116"/>
        <v>#N/A</v>
      </c>
      <c r="AS842" s="64" t="e">
        <f t="shared" si="117"/>
        <v>#N/A</v>
      </c>
    </row>
    <row r="843" spans="1:45" s="64" customFormat="1" ht="36" customHeight="1" x14ac:dyDescent="0.9">
      <c r="B843" s="91" t="s">
        <v>895</v>
      </c>
      <c r="C843" s="91"/>
      <c r="D843" s="126" t="s">
        <v>916</v>
      </c>
      <c r="E843" s="126" t="s">
        <v>916</v>
      </c>
      <c r="F843" s="126" t="s">
        <v>916</v>
      </c>
      <c r="G843" s="126" t="s">
        <v>916</v>
      </c>
      <c r="H843" s="126" t="s">
        <v>916</v>
      </c>
      <c r="I843" s="117">
        <f>I844</f>
        <v>550.20000000000005</v>
      </c>
      <c r="J843" s="117">
        <f>J844</f>
        <v>517.20000000000005</v>
      </c>
      <c r="K843" s="117">
        <f>K844</f>
        <v>517.20000000000005</v>
      </c>
      <c r="L843" s="127">
        <f>L844</f>
        <v>20</v>
      </c>
      <c r="M843" s="126" t="s">
        <v>916</v>
      </c>
      <c r="N843" s="126" t="s">
        <v>916</v>
      </c>
      <c r="O843" s="124" t="s">
        <v>916</v>
      </c>
      <c r="P843" s="118">
        <v>2537436</v>
      </c>
      <c r="Q843" s="118">
        <f>Q844</f>
        <v>0</v>
      </c>
      <c r="R843" s="118">
        <f>R844</f>
        <v>0</v>
      </c>
      <c r="S843" s="118">
        <f>S844</f>
        <v>2537436</v>
      </c>
      <c r="T843" s="118">
        <f t="shared" si="119"/>
        <v>4611.8429661941109</v>
      </c>
      <c r="U843" s="118">
        <f>U844</f>
        <v>5694.4383860414391</v>
      </c>
      <c r="V843" s="183">
        <f t="shared" si="113"/>
        <v>1082.5954198473282</v>
      </c>
      <c r="W843" s="183"/>
      <c r="X843" s="183"/>
      <c r="Y843" s="64" t="e">
        <f t="shared" si="114"/>
        <v>#N/A</v>
      </c>
      <c r="AA843" s="64" t="e">
        <f t="shared" si="115"/>
        <v>#N/A</v>
      </c>
      <c r="AH843" s="64" t="e">
        <f t="shared" si="116"/>
        <v>#N/A</v>
      </c>
      <c r="AS843" s="64" t="e">
        <f t="shared" si="117"/>
        <v>#N/A</v>
      </c>
    </row>
    <row r="844" spans="1:45" s="64" customFormat="1" ht="36" customHeight="1" x14ac:dyDescent="0.9">
      <c r="A844" s="64">
        <v>1</v>
      </c>
      <c r="B844" s="92">
        <f>SUBTOTAL(103,$A$548:A844)</f>
        <v>277</v>
      </c>
      <c r="C844" s="91" t="s">
        <v>724</v>
      </c>
      <c r="D844" s="126">
        <v>1970</v>
      </c>
      <c r="E844" s="126"/>
      <c r="F844" s="145" t="s">
        <v>273</v>
      </c>
      <c r="G844" s="126">
        <v>2</v>
      </c>
      <c r="H844" s="126">
        <v>2</v>
      </c>
      <c r="I844" s="117">
        <v>550.20000000000005</v>
      </c>
      <c r="J844" s="117">
        <v>517.20000000000005</v>
      </c>
      <c r="K844" s="117">
        <v>517.20000000000005</v>
      </c>
      <c r="L844" s="127">
        <v>20</v>
      </c>
      <c r="M844" s="126" t="s">
        <v>271</v>
      </c>
      <c r="N844" s="126" t="s">
        <v>272</v>
      </c>
      <c r="O844" s="124" t="s">
        <v>274</v>
      </c>
      <c r="P844" s="118">
        <v>2537436</v>
      </c>
      <c r="Q844" s="118">
        <v>0</v>
      </c>
      <c r="R844" s="118">
        <v>0</v>
      </c>
      <c r="S844" s="118">
        <f>P844-Q844-R844</f>
        <v>2537436</v>
      </c>
      <c r="T844" s="118">
        <f t="shared" si="119"/>
        <v>4611.8429661941109</v>
      </c>
      <c r="U844" s="118">
        <f>Y844</f>
        <v>5694.4383860414391</v>
      </c>
      <c r="V844" s="183">
        <f t="shared" si="113"/>
        <v>1082.5954198473282</v>
      </c>
      <c r="W844" s="183"/>
      <c r="X844" s="183"/>
      <c r="Y844" s="64">
        <f t="shared" si="114"/>
        <v>5694.4383860414391</v>
      </c>
      <c r="AA844" s="64">
        <f t="shared" si="115"/>
        <v>600</v>
      </c>
      <c r="AH844" s="64" t="e">
        <f t="shared" si="116"/>
        <v>#N/A</v>
      </c>
      <c r="AS844" s="64" t="e">
        <f t="shared" si="117"/>
        <v>#N/A</v>
      </c>
    </row>
    <row r="845" spans="1:45" s="64" customFormat="1" ht="36" customHeight="1" x14ac:dyDescent="0.9">
      <c r="B845" s="91" t="s">
        <v>854</v>
      </c>
      <c r="C845" s="91"/>
      <c r="D845" s="126" t="s">
        <v>916</v>
      </c>
      <c r="E845" s="126" t="s">
        <v>916</v>
      </c>
      <c r="F845" s="126" t="s">
        <v>916</v>
      </c>
      <c r="G845" s="126" t="s">
        <v>916</v>
      </c>
      <c r="H845" s="126" t="s">
        <v>916</v>
      </c>
      <c r="I845" s="117">
        <f>I846</f>
        <v>1206.8</v>
      </c>
      <c r="J845" s="117">
        <f>J846</f>
        <v>1107.8</v>
      </c>
      <c r="K845" s="117">
        <f>K846</f>
        <v>1107.8</v>
      </c>
      <c r="L845" s="127">
        <f>L846</f>
        <v>30</v>
      </c>
      <c r="M845" s="126" t="s">
        <v>916</v>
      </c>
      <c r="N845" s="126" t="s">
        <v>916</v>
      </c>
      <c r="O845" s="124" t="s">
        <v>916</v>
      </c>
      <c r="P845" s="118">
        <v>2968784.92</v>
      </c>
      <c r="Q845" s="118">
        <f>Q846</f>
        <v>0</v>
      </c>
      <c r="R845" s="118">
        <f>R846</f>
        <v>0</v>
      </c>
      <c r="S845" s="118">
        <f>S846</f>
        <v>2968784.92</v>
      </c>
      <c r="T845" s="118">
        <f t="shared" si="119"/>
        <v>2460.0471660589992</v>
      </c>
      <c r="U845" s="118">
        <f>U846</f>
        <v>3037.540271793172</v>
      </c>
      <c r="V845" s="183">
        <f t="shared" si="113"/>
        <v>577.49310573417279</v>
      </c>
      <c r="W845" s="183"/>
      <c r="X845" s="183"/>
      <c r="Y845" s="64" t="e">
        <f t="shared" si="114"/>
        <v>#N/A</v>
      </c>
      <c r="AA845" s="64" t="e">
        <f t="shared" si="115"/>
        <v>#N/A</v>
      </c>
      <c r="AH845" s="64" t="e">
        <f t="shared" si="116"/>
        <v>#N/A</v>
      </c>
      <c r="AS845" s="64" t="e">
        <f t="shared" si="117"/>
        <v>#N/A</v>
      </c>
    </row>
    <row r="846" spans="1:45" s="64" customFormat="1" ht="36" customHeight="1" x14ac:dyDescent="0.9">
      <c r="A846" s="64">
        <v>1</v>
      </c>
      <c r="B846" s="92">
        <f>SUBTOTAL(103,$A$548:A846)</f>
        <v>278</v>
      </c>
      <c r="C846" s="91" t="s">
        <v>721</v>
      </c>
      <c r="D846" s="126">
        <v>1973</v>
      </c>
      <c r="E846" s="126">
        <v>2006</v>
      </c>
      <c r="F846" s="145" t="s">
        <v>273</v>
      </c>
      <c r="G846" s="126">
        <v>3</v>
      </c>
      <c r="H846" s="126">
        <v>2</v>
      </c>
      <c r="I846" s="117">
        <v>1206.8</v>
      </c>
      <c r="J846" s="117">
        <v>1107.8</v>
      </c>
      <c r="K846" s="117">
        <v>1107.8</v>
      </c>
      <c r="L846" s="127">
        <v>30</v>
      </c>
      <c r="M846" s="126" t="s">
        <v>271</v>
      </c>
      <c r="N846" s="126" t="s">
        <v>275</v>
      </c>
      <c r="O846" s="124" t="s">
        <v>753</v>
      </c>
      <c r="P846" s="118">
        <v>2968784.92</v>
      </c>
      <c r="Q846" s="118">
        <v>0</v>
      </c>
      <c r="R846" s="118">
        <v>0</v>
      </c>
      <c r="S846" s="118">
        <f>P846-Q846-R846</f>
        <v>2968784.92</v>
      </c>
      <c r="T846" s="118">
        <f t="shared" si="119"/>
        <v>2460.0471660589992</v>
      </c>
      <c r="U846" s="118">
        <f>Y846</f>
        <v>3037.540271793172</v>
      </c>
      <c r="V846" s="183">
        <f t="shared" si="113"/>
        <v>577.49310573417279</v>
      </c>
      <c r="W846" s="183"/>
      <c r="X846" s="183"/>
      <c r="Y846" s="64">
        <f t="shared" si="114"/>
        <v>3037.540271793172</v>
      </c>
      <c r="AA846" s="64">
        <f t="shared" si="115"/>
        <v>702</v>
      </c>
      <c r="AH846" s="64" t="e">
        <f t="shared" si="116"/>
        <v>#N/A</v>
      </c>
      <c r="AS846" s="64" t="e">
        <f t="shared" si="117"/>
        <v>#N/A</v>
      </c>
    </row>
    <row r="847" spans="1:45" s="64" customFormat="1" ht="36" customHeight="1" x14ac:dyDescent="0.9">
      <c r="B847" s="91" t="s">
        <v>856</v>
      </c>
      <c r="C847" s="172"/>
      <c r="D847" s="126" t="s">
        <v>916</v>
      </c>
      <c r="E847" s="126" t="s">
        <v>916</v>
      </c>
      <c r="F847" s="126" t="s">
        <v>916</v>
      </c>
      <c r="G847" s="126" t="s">
        <v>916</v>
      </c>
      <c r="H847" s="126" t="s">
        <v>916</v>
      </c>
      <c r="I847" s="117">
        <f>SUM(I848:I855)</f>
        <v>14693.869999999999</v>
      </c>
      <c r="J847" s="117">
        <f>SUM(J848:J855)</f>
        <v>11242.789999999999</v>
      </c>
      <c r="K847" s="117">
        <f>SUM(K848:K855)</f>
        <v>11093.99</v>
      </c>
      <c r="L847" s="127">
        <f>SUM(L848:L855)</f>
        <v>542</v>
      </c>
      <c r="M847" s="126" t="s">
        <v>916</v>
      </c>
      <c r="N847" s="126" t="s">
        <v>916</v>
      </c>
      <c r="O847" s="124" t="s">
        <v>916</v>
      </c>
      <c r="P847" s="118">
        <v>29283340</v>
      </c>
      <c r="Q847" s="118">
        <f>SUM(Q848:Q855)</f>
        <v>0</v>
      </c>
      <c r="R847" s="118">
        <f>SUM(R848:R855)</f>
        <v>0</v>
      </c>
      <c r="S847" s="118">
        <f>SUM(S848:S855)</f>
        <v>29283340</v>
      </c>
      <c r="T847" s="118">
        <f t="shared" si="119"/>
        <v>1992.8949963488178</v>
      </c>
      <c r="U847" s="118">
        <f>MAX(U848:U855)</f>
        <v>4804.6705037260499</v>
      </c>
      <c r="V847" s="183">
        <f t="shared" si="113"/>
        <v>2811.7755073772323</v>
      </c>
      <c r="W847" s="183"/>
      <c r="X847" s="183"/>
      <c r="Y847" s="64" t="e">
        <f t="shared" si="114"/>
        <v>#N/A</v>
      </c>
      <c r="AA847" s="64" t="e">
        <f t="shared" si="115"/>
        <v>#N/A</v>
      </c>
      <c r="AH847" s="64" t="e">
        <f t="shared" si="116"/>
        <v>#N/A</v>
      </c>
      <c r="AS847" s="64" t="e">
        <f t="shared" si="117"/>
        <v>#N/A</v>
      </c>
    </row>
    <row r="848" spans="1:45" s="64" customFormat="1" ht="36" customHeight="1" x14ac:dyDescent="0.9">
      <c r="A848" s="64">
        <v>1</v>
      </c>
      <c r="B848" s="92">
        <f>SUBTOTAL(103,$A$548:A848)</f>
        <v>279</v>
      </c>
      <c r="C848" s="91" t="s">
        <v>124</v>
      </c>
      <c r="D848" s="126">
        <v>1992</v>
      </c>
      <c r="E848" s="126"/>
      <c r="F848" s="145" t="s">
        <v>273</v>
      </c>
      <c r="G848" s="126">
        <v>3</v>
      </c>
      <c r="H848" s="126">
        <v>2</v>
      </c>
      <c r="I848" s="117">
        <v>1555.9</v>
      </c>
      <c r="J848" s="117">
        <v>1062.8</v>
      </c>
      <c r="K848" s="117">
        <v>1019.8</v>
      </c>
      <c r="L848" s="127">
        <v>42</v>
      </c>
      <c r="M848" s="126" t="s">
        <v>271</v>
      </c>
      <c r="N848" s="126" t="s">
        <v>275</v>
      </c>
      <c r="O848" s="124" t="s">
        <v>290</v>
      </c>
      <c r="P848" s="118">
        <v>3312500</v>
      </c>
      <c r="Q848" s="118">
        <v>0</v>
      </c>
      <c r="R848" s="118">
        <v>0</v>
      </c>
      <c r="S848" s="118">
        <f t="shared" ref="S848:S855" si="122">P848-Q848-R848</f>
        <v>3312500</v>
      </c>
      <c r="T848" s="118">
        <f t="shared" si="119"/>
        <v>2128.9928658654153</v>
      </c>
      <c r="U848" s="118">
        <f t="shared" ref="U848:U855" si="123">Y848</f>
        <v>2223.4349893952053</v>
      </c>
      <c r="V848" s="183">
        <f t="shared" si="113"/>
        <v>94.442123529790024</v>
      </c>
      <c r="W848" s="183"/>
      <c r="X848" s="183"/>
      <c r="Y848" s="64">
        <f t="shared" si="114"/>
        <v>2223.4349893952053</v>
      </c>
      <c r="AA848" s="64">
        <f t="shared" si="115"/>
        <v>662.5</v>
      </c>
      <c r="AH848" s="64" t="e">
        <f t="shared" si="116"/>
        <v>#N/A</v>
      </c>
      <c r="AS848" s="64" t="e">
        <f t="shared" si="117"/>
        <v>#N/A</v>
      </c>
    </row>
    <row r="849" spans="1:45" s="64" customFormat="1" ht="36" customHeight="1" x14ac:dyDescent="0.9">
      <c r="A849" s="64">
        <v>1</v>
      </c>
      <c r="B849" s="92">
        <f>SUBTOTAL(103,$A$548:A849)</f>
        <v>280</v>
      </c>
      <c r="C849" s="91" t="s">
        <v>129</v>
      </c>
      <c r="D849" s="126">
        <v>1983</v>
      </c>
      <c r="E849" s="126"/>
      <c r="F849" s="145" t="s">
        <v>273</v>
      </c>
      <c r="G849" s="126">
        <v>2</v>
      </c>
      <c r="H849" s="126">
        <v>3</v>
      </c>
      <c r="I849" s="117">
        <v>1039.7</v>
      </c>
      <c r="J849" s="117">
        <v>968.1</v>
      </c>
      <c r="K849" s="117">
        <v>908.6</v>
      </c>
      <c r="L849" s="127">
        <v>46</v>
      </c>
      <c r="M849" s="126" t="s">
        <v>271</v>
      </c>
      <c r="N849" s="126" t="s">
        <v>275</v>
      </c>
      <c r="O849" s="124" t="s">
        <v>290</v>
      </c>
      <c r="P849" s="118">
        <v>3771000</v>
      </c>
      <c r="Q849" s="118">
        <v>0</v>
      </c>
      <c r="R849" s="118">
        <v>0</v>
      </c>
      <c r="S849" s="118">
        <f t="shared" si="122"/>
        <v>3771000</v>
      </c>
      <c r="T849" s="118">
        <f t="shared" si="119"/>
        <v>3627.007790708858</v>
      </c>
      <c r="U849" s="118">
        <f t="shared" si="123"/>
        <v>3787.9018563047034</v>
      </c>
      <c r="V849" s="183">
        <f t="shared" ref="V849:V912" si="124">U849-T849</f>
        <v>160.8940655958454</v>
      </c>
      <c r="W849" s="183"/>
      <c r="X849" s="183"/>
      <c r="Y849" s="64">
        <f t="shared" ref="Y849:Y912" si="125">AA849*5221.8/I849</f>
        <v>3787.9018563047034</v>
      </c>
      <c r="AA849" s="64">
        <f t="shared" ref="AA849:AA912" si="126">VLOOKUP(C849,AC:AE,2,FALSE)</f>
        <v>754.2</v>
      </c>
      <c r="AH849" s="64" t="e">
        <f t="shared" ref="AH849:AH912" si="127">VLOOKUP(C849,AJ:AK,2,FALSE)</f>
        <v>#N/A</v>
      </c>
      <c r="AS849" s="64" t="e">
        <f t="shared" ref="AS849:AS912" si="128">VLOOKUP(C849,AU:AV,2,FALSE)</f>
        <v>#N/A</v>
      </c>
    </row>
    <row r="850" spans="1:45" s="64" customFormat="1" ht="36" customHeight="1" x14ac:dyDescent="0.9">
      <c r="A850" s="64">
        <v>1</v>
      </c>
      <c r="B850" s="92">
        <f>SUBTOTAL(103,$A$548:A850)</f>
        <v>281</v>
      </c>
      <c r="C850" s="91" t="s">
        <v>127</v>
      </c>
      <c r="D850" s="126">
        <v>1981</v>
      </c>
      <c r="E850" s="126"/>
      <c r="F850" s="145" t="s">
        <v>273</v>
      </c>
      <c r="G850" s="126">
        <v>2</v>
      </c>
      <c r="H850" s="126">
        <v>3</v>
      </c>
      <c r="I850" s="117">
        <v>1572.8</v>
      </c>
      <c r="J850" s="117">
        <v>971.5</v>
      </c>
      <c r="K850" s="117">
        <v>925.2</v>
      </c>
      <c r="L850" s="127">
        <v>44</v>
      </c>
      <c r="M850" s="126" t="s">
        <v>271</v>
      </c>
      <c r="N850" s="126" t="s">
        <v>275</v>
      </c>
      <c r="O850" s="124" t="s">
        <v>290</v>
      </c>
      <c r="P850" s="118">
        <v>4430000</v>
      </c>
      <c r="Q850" s="118">
        <v>0</v>
      </c>
      <c r="R850" s="118">
        <v>0</v>
      </c>
      <c r="S850" s="118">
        <f t="shared" si="122"/>
        <v>4430000</v>
      </c>
      <c r="T850" s="118">
        <f t="shared" si="119"/>
        <v>2816.6327568667348</v>
      </c>
      <c r="U850" s="118">
        <f t="shared" si="123"/>
        <v>2941.5785859613429</v>
      </c>
      <c r="V850" s="183">
        <f t="shared" si="124"/>
        <v>124.94582909460814</v>
      </c>
      <c r="W850" s="183"/>
      <c r="X850" s="183"/>
      <c r="Y850" s="64">
        <f t="shared" si="125"/>
        <v>2941.5785859613429</v>
      </c>
      <c r="AA850" s="64">
        <f t="shared" si="126"/>
        <v>886</v>
      </c>
      <c r="AH850" s="64" t="e">
        <f t="shared" si="127"/>
        <v>#N/A</v>
      </c>
      <c r="AS850" s="64" t="e">
        <f t="shared" si="128"/>
        <v>#N/A</v>
      </c>
    </row>
    <row r="851" spans="1:45" s="64" customFormat="1" ht="36" customHeight="1" x14ac:dyDescent="0.9">
      <c r="A851" s="64">
        <v>1</v>
      </c>
      <c r="B851" s="92">
        <f>SUBTOTAL(103,$A$548:A851)</f>
        <v>282</v>
      </c>
      <c r="C851" s="91" t="s">
        <v>130</v>
      </c>
      <c r="D851" s="126">
        <v>1975</v>
      </c>
      <c r="E851" s="126"/>
      <c r="F851" s="145" t="s">
        <v>273</v>
      </c>
      <c r="G851" s="126">
        <v>2</v>
      </c>
      <c r="H851" s="126">
        <v>2</v>
      </c>
      <c r="I851" s="117">
        <v>786.44</v>
      </c>
      <c r="J851" s="117">
        <v>726.3</v>
      </c>
      <c r="K851" s="117">
        <v>726.3</v>
      </c>
      <c r="L851" s="127">
        <v>27</v>
      </c>
      <c r="M851" s="126" t="s">
        <v>271</v>
      </c>
      <c r="N851" s="126" t="s">
        <v>275</v>
      </c>
      <c r="O851" s="124" t="s">
        <v>290</v>
      </c>
      <c r="P851" s="118">
        <v>3350000</v>
      </c>
      <c r="Q851" s="118">
        <v>0</v>
      </c>
      <c r="R851" s="118">
        <v>0</v>
      </c>
      <c r="S851" s="118">
        <f t="shared" si="122"/>
        <v>3350000</v>
      </c>
      <c r="T851" s="118">
        <f t="shared" si="119"/>
        <v>4259.7019480189201</v>
      </c>
      <c r="U851" s="118">
        <f t="shared" si="123"/>
        <v>4448.6623264330401</v>
      </c>
      <c r="V851" s="183">
        <f t="shared" si="124"/>
        <v>188.96037841411999</v>
      </c>
      <c r="W851" s="183"/>
      <c r="X851" s="183"/>
      <c r="Y851" s="64">
        <f t="shared" si="125"/>
        <v>4448.6623264330401</v>
      </c>
      <c r="AA851" s="64">
        <f t="shared" si="126"/>
        <v>670</v>
      </c>
      <c r="AH851" s="64" t="e">
        <f t="shared" si="127"/>
        <v>#N/A</v>
      </c>
      <c r="AS851" s="64" t="e">
        <f t="shared" si="128"/>
        <v>#N/A</v>
      </c>
    </row>
    <row r="852" spans="1:45" s="64" customFormat="1" ht="36" customHeight="1" x14ac:dyDescent="0.9">
      <c r="A852" s="64">
        <v>1</v>
      </c>
      <c r="B852" s="92">
        <f>SUBTOTAL(103,$A$548:A852)</f>
        <v>283</v>
      </c>
      <c r="C852" s="91" t="s">
        <v>128</v>
      </c>
      <c r="D852" s="126">
        <v>1972</v>
      </c>
      <c r="E852" s="126"/>
      <c r="F852" s="145" t="s">
        <v>273</v>
      </c>
      <c r="G852" s="126">
        <v>2</v>
      </c>
      <c r="H852" s="126">
        <v>2</v>
      </c>
      <c r="I852" s="117">
        <v>669.61</v>
      </c>
      <c r="J852" s="117">
        <v>621.29</v>
      </c>
      <c r="K852" s="117">
        <v>621.29</v>
      </c>
      <c r="L852" s="127">
        <v>12</v>
      </c>
      <c r="M852" s="126" t="s">
        <v>271</v>
      </c>
      <c r="N852" s="126" t="s">
        <v>275</v>
      </c>
      <c r="O852" s="124" t="s">
        <v>291</v>
      </c>
      <c r="P852" s="118">
        <v>3080600</v>
      </c>
      <c r="Q852" s="118">
        <v>0</v>
      </c>
      <c r="R852" s="118">
        <v>0</v>
      </c>
      <c r="S852" s="118">
        <f t="shared" si="122"/>
        <v>3080600</v>
      </c>
      <c r="T852" s="118">
        <f t="shared" si="119"/>
        <v>4600.5884022042683</v>
      </c>
      <c r="U852" s="118">
        <f t="shared" si="123"/>
        <v>4804.6705037260499</v>
      </c>
      <c r="V852" s="183">
        <f t="shared" si="124"/>
        <v>204.08210152178162</v>
      </c>
      <c r="W852" s="183"/>
      <c r="X852" s="183"/>
      <c r="Y852" s="64">
        <f t="shared" si="125"/>
        <v>4804.6705037260499</v>
      </c>
      <c r="AA852" s="64">
        <f t="shared" si="126"/>
        <v>616.12</v>
      </c>
      <c r="AH852" s="64" t="e">
        <f t="shared" si="127"/>
        <v>#N/A</v>
      </c>
      <c r="AS852" s="64" t="e">
        <f t="shared" si="128"/>
        <v>#N/A</v>
      </c>
    </row>
    <row r="853" spans="1:45" s="64" customFormat="1" ht="36" customHeight="1" x14ac:dyDescent="0.9">
      <c r="A853" s="64">
        <v>1</v>
      </c>
      <c r="B853" s="92">
        <f>SUBTOTAL(103,$A$548:A853)</f>
        <v>284</v>
      </c>
      <c r="C853" s="91" t="s">
        <v>125</v>
      </c>
      <c r="D853" s="126">
        <v>1978</v>
      </c>
      <c r="E853" s="126"/>
      <c r="F853" s="145" t="s">
        <v>293</v>
      </c>
      <c r="G853" s="126">
        <v>5</v>
      </c>
      <c r="H853" s="126">
        <v>4</v>
      </c>
      <c r="I853" s="117">
        <v>4027.2</v>
      </c>
      <c r="J853" s="117">
        <v>3079</v>
      </c>
      <c r="K853" s="117">
        <v>3079</v>
      </c>
      <c r="L853" s="127">
        <v>157</v>
      </c>
      <c r="M853" s="126" t="s">
        <v>271</v>
      </c>
      <c r="N853" s="126" t="s">
        <v>275</v>
      </c>
      <c r="O853" s="124" t="s">
        <v>291</v>
      </c>
      <c r="P853" s="118">
        <v>3404280</v>
      </c>
      <c r="Q853" s="118">
        <v>0</v>
      </c>
      <c r="R853" s="118">
        <v>0</v>
      </c>
      <c r="S853" s="118">
        <f t="shared" si="122"/>
        <v>3404280</v>
      </c>
      <c r="T853" s="118">
        <f t="shared" si="119"/>
        <v>845.32181168057218</v>
      </c>
      <c r="U853" s="118">
        <f t="shared" si="123"/>
        <v>1003.2048718712754</v>
      </c>
      <c r="V853" s="183">
        <f t="shared" si="124"/>
        <v>157.88306019070319</v>
      </c>
      <c r="W853" s="183"/>
      <c r="X853" s="183"/>
      <c r="Y853" s="64">
        <f t="shared" si="125"/>
        <v>1003.2048718712754</v>
      </c>
      <c r="AA853" s="64">
        <f t="shared" si="126"/>
        <v>773.7</v>
      </c>
      <c r="AH853" s="64" t="e">
        <f t="shared" si="127"/>
        <v>#N/A</v>
      </c>
      <c r="AS853" s="64" t="e">
        <f t="shared" si="128"/>
        <v>#N/A</v>
      </c>
    </row>
    <row r="854" spans="1:45" s="64" customFormat="1" ht="36" customHeight="1" x14ac:dyDescent="0.9">
      <c r="A854" s="64">
        <v>1</v>
      </c>
      <c r="B854" s="92">
        <f>SUBTOTAL(103,$A$548:A854)</f>
        <v>285</v>
      </c>
      <c r="C854" s="91" t="s">
        <v>126</v>
      </c>
      <c r="D854" s="126">
        <v>1986</v>
      </c>
      <c r="E854" s="126"/>
      <c r="F854" s="145" t="s">
        <v>273</v>
      </c>
      <c r="G854" s="126">
        <v>5</v>
      </c>
      <c r="H854" s="126">
        <v>1</v>
      </c>
      <c r="I854" s="117">
        <v>3459.92</v>
      </c>
      <c r="J854" s="117">
        <v>2342</v>
      </c>
      <c r="K854" s="117">
        <v>2342</v>
      </c>
      <c r="L854" s="127">
        <v>145</v>
      </c>
      <c r="M854" s="126" t="s">
        <v>271</v>
      </c>
      <c r="N854" s="126" t="s">
        <v>275</v>
      </c>
      <c r="O854" s="124" t="s">
        <v>291</v>
      </c>
      <c r="P854" s="118">
        <v>4675000</v>
      </c>
      <c r="Q854" s="118">
        <v>0</v>
      </c>
      <c r="R854" s="118">
        <v>0</v>
      </c>
      <c r="S854" s="118">
        <f t="shared" si="122"/>
        <v>4675000</v>
      </c>
      <c r="T854" s="118">
        <f t="shared" si="119"/>
        <v>1351.1873106892645</v>
      </c>
      <c r="U854" s="118">
        <f t="shared" si="123"/>
        <v>1411.1259797914402</v>
      </c>
      <c r="V854" s="183">
        <f t="shared" si="124"/>
        <v>59.938669102175709</v>
      </c>
      <c r="W854" s="183"/>
      <c r="X854" s="183"/>
      <c r="Y854" s="64">
        <f t="shared" si="125"/>
        <v>1411.1259797914402</v>
      </c>
      <c r="AA854" s="64">
        <f t="shared" si="126"/>
        <v>935</v>
      </c>
      <c r="AH854" s="64" t="e">
        <f t="shared" si="127"/>
        <v>#N/A</v>
      </c>
      <c r="AS854" s="64" t="e">
        <f t="shared" si="128"/>
        <v>#N/A</v>
      </c>
    </row>
    <row r="855" spans="1:45" s="64" customFormat="1" ht="36" customHeight="1" x14ac:dyDescent="0.9">
      <c r="A855" s="64">
        <v>1</v>
      </c>
      <c r="B855" s="92">
        <f>SUBTOTAL(103,$A$548:A855)</f>
        <v>286</v>
      </c>
      <c r="C855" s="91" t="s">
        <v>131</v>
      </c>
      <c r="D855" s="126">
        <v>1978</v>
      </c>
      <c r="E855" s="126"/>
      <c r="F855" s="145" t="s">
        <v>273</v>
      </c>
      <c r="G855" s="126">
        <v>3</v>
      </c>
      <c r="H855" s="126">
        <v>3</v>
      </c>
      <c r="I855" s="117">
        <v>1582.3</v>
      </c>
      <c r="J855" s="117">
        <v>1471.8</v>
      </c>
      <c r="K855" s="117">
        <v>1471.8</v>
      </c>
      <c r="L855" s="127">
        <v>69</v>
      </c>
      <c r="M855" s="126" t="s">
        <v>271</v>
      </c>
      <c r="N855" s="126" t="s">
        <v>275</v>
      </c>
      <c r="O855" s="124" t="s">
        <v>291</v>
      </c>
      <c r="P855" s="118">
        <v>3259960</v>
      </c>
      <c r="Q855" s="118">
        <v>0</v>
      </c>
      <c r="R855" s="118">
        <v>0</v>
      </c>
      <c r="S855" s="118">
        <f t="shared" si="122"/>
        <v>3259960</v>
      </c>
      <c r="T855" s="118">
        <f t="shared" si="119"/>
        <v>2060.2667003728748</v>
      </c>
      <c r="U855" s="118">
        <f t="shared" si="123"/>
        <v>2445.0683309106998</v>
      </c>
      <c r="V855" s="183">
        <f t="shared" si="124"/>
        <v>384.80163053782508</v>
      </c>
      <c r="W855" s="183"/>
      <c r="X855" s="183"/>
      <c r="Y855" s="64">
        <f t="shared" si="125"/>
        <v>2445.0683309106998</v>
      </c>
      <c r="AA855" s="64">
        <f t="shared" si="126"/>
        <v>740.9</v>
      </c>
      <c r="AH855" s="64" t="e">
        <f t="shared" si="127"/>
        <v>#N/A</v>
      </c>
      <c r="AS855" s="64" t="e">
        <f t="shared" si="128"/>
        <v>#N/A</v>
      </c>
    </row>
    <row r="856" spans="1:45" s="64" customFormat="1" ht="36" customHeight="1" x14ac:dyDescent="0.9">
      <c r="B856" s="91" t="s">
        <v>861</v>
      </c>
      <c r="C856" s="172"/>
      <c r="D856" s="126" t="s">
        <v>916</v>
      </c>
      <c r="E856" s="126" t="s">
        <v>916</v>
      </c>
      <c r="F856" s="126" t="s">
        <v>916</v>
      </c>
      <c r="G856" s="126" t="s">
        <v>916</v>
      </c>
      <c r="H856" s="126" t="s">
        <v>916</v>
      </c>
      <c r="I856" s="117">
        <f>I857</f>
        <v>791.5</v>
      </c>
      <c r="J856" s="117">
        <f>J857</f>
        <v>725.1</v>
      </c>
      <c r="K856" s="117">
        <f>K857</f>
        <v>725.1</v>
      </c>
      <c r="L856" s="127">
        <f>L857</f>
        <v>42</v>
      </c>
      <c r="M856" s="126" t="s">
        <v>916</v>
      </c>
      <c r="N856" s="126" t="s">
        <v>916</v>
      </c>
      <c r="O856" s="124" t="s">
        <v>916</v>
      </c>
      <c r="P856" s="118">
        <v>3328825.5</v>
      </c>
      <c r="Q856" s="118">
        <f>Q857</f>
        <v>0</v>
      </c>
      <c r="R856" s="118">
        <f>R857</f>
        <v>0</v>
      </c>
      <c r="S856" s="118">
        <f>S857</f>
        <v>3328825.5</v>
      </c>
      <c r="T856" s="118">
        <f t="shared" si="119"/>
        <v>4205.7176247631078</v>
      </c>
      <c r="U856" s="118">
        <f>U857</f>
        <v>4288.2754264055593</v>
      </c>
      <c r="V856" s="183">
        <f t="shared" si="124"/>
        <v>82.557801642451523</v>
      </c>
      <c r="W856" s="183"/>
      <c r="X856" s="183"/>
      <c r="Y856" s="64" t="e">
        <f t="shared" si="125"/>
        <v>#N/A</v>
      </c>
      <c r="AA856" s="64" t="e">
        <f t="shared" si="126"/>
        <v>#N/A</v>
      </c>
      <c r="AH856" s="64" t="e">
        <f t="shared" si="127"/>
        <v>#N/A</v>
      </c>
      <c r="AS856" s="64" t="e">
        <f t="shared" si="128"/>
        <v>#N/A</v>
      </c>
    </row>
    <row r="857" spans="1:45" s="64" customFormat="1" ht="36" customHeight="1" x14ac:dyDescent="0.9">
      <c r="A857" s="64">
        <v>1</v>
      </c>
      <c r="B857" s="92">
        <f>SUBTOTAL(103,$A$548:A857)</f>
        <v>287</v>
      </c>
      <c r="C857" s="91" t="s">
        <v>180</v>
      </c>
      <c r="D857" s="126">
        <v>1968</v>
      </c>
      <c r="E857" s="126">
        <v>2009</v>
      </c>
      <c r="F857" s="145" t="s">
        <v>273</v>
      </c>
      <c r="G857" s="126">
        <v>2</v>
      </c>
      <c r="H857" s="126">
        <v>2</v>
      </c>
      <c r="I857" s="117">
        <v>791.5</v>
      </c>
      <c r="J857" s="117">
        <v>725.1</v>
      </c>
      <c r="K857" s="117">
        <v>725.1</v>
      </c>
      <c r="L857" s="127">
        <v>42</v>
      </c>
      <c r="M857" s="126" t="s">
        <v>271</v>
      </c>
      <c r="N857" s="126" t="s">
        <v>272</v>
      </c>
      <c r="O857" s="124" t="s">
        <v>274</v>
      </c>
      <c r="P857" s="118">
        <v>3328825.5</v>
      </c>
      <c r="Q857" s="118">
        <v>0</v>
      </c>
      <c r="R857" s="118">
        <v>0</v>
      </c>
      <c r="S857" s="118">
        <f>P857-Q857-R857</f>
        <v>3328825.5</v>
      </c>
      <c r="T857" s="118">
        <f t="shared" si="119"/>
        <v>4205.7176247631078</v>
      </c>
      <c r="U857" s="118">
        <f>Y857</f>
        <v>4288.2754264055593</v>
      </c>
      <c r="V857" s="183">
        <f t="shared" si="124"/>
        <v>82.557801642451523</v>
      </c>
      <c r="W857" s="183"/>
      <c r="X857" s="183"/>
      <c r="Y857" s="64">
        <f t="shared" si="125"/>
        <v>4288.2754264055593</v>
      </c>
      <c r="AA857" s="64">
        <f t="shared" si="126"/>
        <v>650</v>
      </c>
      <c r="AH857" s="64" t="e">
        <f t="shared" si="127"/>
        <v>#N/A</v>
      </c>
      <c r="AS857" s="64" t="e">
        <f t="shared" si="128"/>
        <v>#N/A</v>
      </c>
    </row>
    <row r="858" spans="1:45" s="64" customFormat="1" ht="36" customHeight="1" x14ac:dyDescent="0.9">
      <c r="B858" s="91" t="s">
        <v>860</v>
      </c>
      <c r="C858" s="91"/>
      <c r="D858" s="126" t="s">
        <v>916</v>
      </c>
      <c r="E858" s="126" t="s">
        <v>916</v>
      </c>
      <c r="F858" s="126" t="s">
        <v>916</v>
      </c>
      <c r="G858" s="126" t="s">
        <v>916</v>
      </c>
      <c r="H858" s="126" t="s">
        <v>916</v>
      </c>
      <c r="I858" s="117">
        <f>I859+I860</f>
        <v>910.90000000000009</v>
      </c>
      <c r="J858" s="117">
        <f>J859+J860</f>
        <v>796.59999999999991</v>
      </c>
      <c r="K858" s="117">
        <f>K859+K860</f>
        <v>753.7</v>
      </c>
      <c r="L858" s="127">
        <f>L859+L860</f>
        <v>39</v>
      </c>
      <c r="M858" s="126" t="s">
        <v>916</v>
      </c>
      <c r="N858" s="126" t="s">
        <v>916</v>
      </c>
      <c r="O858" s="124" t="s">
        <v>916</v>
      </c>
      <c r="P858" s="118">
        <v>5279138.41</v>
      </c>
      <c r="Q858" s="118">
        <f>Q859+Q860</f>
        <v>0</v>
      </c>
      <c r="R858" s="118">
        <f>R859+R860</f>
        <v>0</v>
      </c>
      <c r="S858" s="118">
        <f>S859+S860</f>
        <v>5279138.41</v>
      </c>
      <c r="T858" s="118">
        <f t="shared" si="119"/>
        <v>5795.5191678559659</v>
      </c>
      <c r="U858" s="118">
        <f>MAX(U859:U860)</f>
        <v>7190.7367408906875</v>
      </c>
      <c r="V858" s="183">
        <f t="shared" si="124"/>
        <v>1395.2175730347217</v>
      </c>
      <c r="W858" s="183"/>
      <c r="X858" s="183"/>
      <c r="Y858" s="64" t="e">
        <f t="shared" si="125"/>
        <v>#N/A</v>
      </c>
      <c r="AA858" s="64" t="e">
        <f t="shared" si="126"/>
        <v>#N/A</v>
      </c>
      <c r="AH858" s="64" t="e">
        <f t="shared" si="127"/>
        <v>#N/A</v>
      </c>
      <c r="AS858" s="64" t="e">
        <f t="shared" si="128"/>
        <v>#N/A</v>
      </c>
    </row>
    <row r="859" spans="1:45" s="64" customFormat="1" ht="36" customHeight="1" x14ac:dyDescent="0.9">
      <c r="A859" s="64">
        <v>1</v>
      </c>
      <c r="B859" s="92">
        <f>SUBTOTAL(103,$A$548:A859)</f>
        <v>288</v>
      </c>
      <c r="C859" s="91" t="s">
        <v>178</v>
      </c>
      <c r="D859" s="126">
        <v>1955</v>
      </c>
      <c r="E859" s="126"/>
      <c r="F859" s="145" t="s">
        <v>273</v>
      </c>
      <c r="G859" s="126">
        <v>2</v>
      </c>
      <c r="H859" s="126">
        <v>2</v>
      </c>
      <c r="I859" s="117">
        <v>451.8</v>
      </c>
      <c r="J859" s="117">
        <v>395.2</v>
      </c>
      <c r="K859" s="117">
        <v>395.2</v>
      </c>
      <c r="L859" s="127">
        <v>16</v>
      </c>
      <c r="M859" s="126" t="s">
        <v>271</v>
      </c>
      <c r="N859" s="126" t="s">
        <v>345</v>
      </c>
      <c r="O859" s="124" t="s">
        <v>347</v>
      </c>
      <c r="P859" s="118">
        <v>2721526.66</v>
      </c>
      <c r="Q859" s="118">
        <v>0</v>
      </c>
      <c r="R859" s="118">
        <v>0</v>
      </c>
      <c r="S859" s="118">
        <f>P859-Q859-R859</f>
        <v>2721526.66</v>
      </c>
      <c r="T859" s="118">
        <f t="shared" si="119"/>
        <v>6023.7420540061976</v>
      </c>
      <c r="U859" s="118">
        <f>AG859</f>
        <v>7190.7367408906875</v>
      </c>
      <c r="V859" s="183">
        <f t="shared" si="124"/>
        <v>1166.99468688449</v>
      </c>
      <c r="W859" s="183"/>
      <c r="X859" s="183"/>
      <c r="Y859" s="64" t="e">
        <f t="shared" si="125"/>
        <v>#N/A</v>
      </c>
      <c r="AA859" s="64" t="e">
        <f t="shared" si="126"/>
        <v>#N/A</v>
      </c>
      <c r="AG859" s="64">
        <f>AH859*6191.24/J859</f>
        <v>7190.7367408906875</v>
      </c>
      <c r="AH859" s="64">
        <f t="shared" si="127"/>
        <v>459</v>
      </c>
      <c r="AS859" s="64" t="e">
        <f t="shared" si="128"/>
        <v>#N/A</v>
      </c>
    </row>
    <row r="860" spans="1:45" s="64" customFormat="1" ht="36" customHeight="1" x14ac:dyDescent="0.9">
      <c r="A860" s="64">
        <v>1</v>
      </c>
      <c r="B860" s="92">
        <f>SUBTOTAL(103,$A$548:A860)</f>
        <v>289</v>
      </c>
      <c r="C860" s="91" t="s">
        <v>179</v>
      </c>
      <c r="D860" s="126">
        <v>1956</v>
      </c>
      <c r="E860" s="126">
        <v>2010</v>
      </c>
      <c r="F860" s="145" t="s">
        <v>273</v>
      </c>
      <c r="G860" s="126">
        <v>2</v>
      </c>
      <c r="H860" s="126">
        <v>2</v>
      </c>
      <c r="I860" s="117">
        <v>459.1</v>
      </c>
      <c r="J860" s="117">
        <v>401.4</v>
      </c>
      <c r="K860" s="117">
        <v>358.5</v>
      </c>
      <c r="L860" s="127">
        <v>23</v>
      </c>
      <c r="M860" s="126" t="s">
        <v>271</v>
      </c>
      <c r="N860" s="126" t="s">
        <v>345</v>
      </c>
      <c r="O860" s="124" t="s">
        <v>347</v>
      </c>
      <c r="P860" s="118">
        <v>2557611.75</v>
      </c>
      <c r="Q860" s="118">
        <v>0</v>
      </c>
      <c r="R860" s="118">
        <v>0</v>
      </c>
      <c r="S860" s="118">
        <f>P860-Q860-R860</f>
        <v>2557611.75</v>
      </c>
      <c r="T860" s="118">
        <f t="shared" si="119"/>
        <v>5570.9251796994113</v>
      </c>
      <c r="U860" s="118">
        <f>AG860</f>
        <v>6562.9611858495273</v>
      </c>
      <c r="V860" s="183">
        <f t="shared" si="124"/>
        <v>992.03600615011601</v>
      </c>
      <c r="W860" s="183"/>
      <c r="X860" s="183"/>
      <c r="Y860" s="64" t="e">
        <f t="shared" si="125"/>
        <v>#N/A</v>
      </c>
      <c r="AA860" s="64" t="e">
        <f t="shared" si="126"/>
        <v>#N/A</v>
      </c>
      <c r="AG860" s="64">
        <f>AH860*6191.24/J860</f>
        <v>6562.9611858495273</v>
      </c>
      <c r="AH860" s="64">
        <f t="shared" si="127"/>
        <v>425.5</v>
      </c>
      <c r="AS860" s="64" t="e">
        <f t="shared" si="128"/>
        <v>#N/A</v>
      </c>
    </row>
    <row r="861" spans="1:45" s="64" customFormat="1" ht="36" customHeight="1" x14ac:dyDescent="0.9">
      <c r="B861" s="91" t="s">
        <v>896</v>
      </c>
      <c r="C861" s="91"/>
      <c r="D861" s="126" t="s">
        <v>916</v>
      </c>
      <c r="E861" s="126" t="s">
        <v>916</v>
      </c>
      <c r="F861" s="126" t="s">
        <v>916</v>
      </c>
      <c r="G861" s="126" t="s">
        <v>916</v>
      </c>
      <c r="H861" s="126" t="s">
        <v>916</v>
      </c>
      <c r="I861" s="117">
        <f>I862</f>
        <v>960.39</v>
      </c>
      <c r="J861" s="117">
        <f>J862</f>
        <v>880.42</v>
      </c>
      <c r="K861" s="117">
        <f>K862</f>
        <v>880.42</v>
      </c>
      <c r="L861" s="127">
        <f>L862</f>
        <v>48</v>
      </c>
      <c r="M861" s="126" t="s">
        <v>916</v>
      </c>
      <c r="N861" s="126" t="s">
        <v>916</v>
      </c>
      <c r="O861" s="124" t="s">
        <v>916</v>
      </c>
      <c r="P861" s="118">
        <v>4178956.32</v>
      </c>
      <c r="Q861" s="118">
        <f>Q862</f>
        <v>0</v>
      </c>
      <c r="R861" s="118">
        <f>R862</f>
        <v>0</v>
      </c>
      <c r="S861" s="118">
        <f>S862</f>
        <v>4178956.32</v>
      </c>
      <c r="T861" s="118">
        <f t="shared" si="119"/>
        <v>4351.3117795895414</v>
      </c>
      <c r="U861" s="118">
        <f>U862</f>
        <v>4436.7275794208599</v>
      </c>
      <c r="V861" s="183">
        <f t="shared" si="124"/>
        <v>85.415799831318509</v>
      </c>
      <c r="W861" s="183"/>
      <c r="X861" s="183"/>
      <c r="Y861" s="64" t="e">
        <f t="shared" si="125"/>
        <v>#N/A</v>
      </c>
      <c r="AA861" s="64" t="e">
        <f t="shared" si="126"/>
        <v>#N/A</v>
      </c>
      <c r="AH861" s="64" t="e">
        <f t="shared" si="127"/>
        <v>#N/A</v>
      </c>
      <c r="AS861" s="64" t="e">
        <f t="shared" si="128"/>
        <v>#N/A</v>
      </c>
    </row>
    <row r="862" spans="1:45" s="64" customFormat="1" ht="36" customHeight="1" x14ac:dyDescent="0.9">
      <c r="A862" s="64">
        <v>1</v>
      </c>
      <c r="B862" s="92">
        <f>SUBTOTAL(103,$A$548:A862)</f>
        <v>290</v>
      </c>
      <c r="C862" s="91" t="s">
        <v>177</v>
      </c>
      <c r="D862" s="126">
        <v>1969</v>
      </c>
      <c r="E862" s="126"/>
      <c r="F862" s="145" t="s">
        <v>273</v>
      </c>
      <c r="G862" s="126">
        <v>2</v>
      </c>
      <c r="H862" s="126">
        <v>3</v>
      </c>
      <c r="I862" s="117">
        <v>960.39</v>
      </c>
      <c r="J862" s="117">
        <v>880.42</v>
      </c>
      <c r="K862" s="117">
        <v>880.42</v>
      </c>
      <c r="L862" s="127">
        <v>48</v>
      </c>
      <c r="M862" s="126" t="s">
        <v>271</v>
      </c>
      <c r="N862" s="126" t="s">
        <v>345</v>
      </c>
      <c r="O862" s="124" t="s">
        <v>346</v>
      </c>
      <c r="P862" s="118">
        <v>4178956.32</v>
      </c>
      <c r="Q862" s="118">
        <v>0</v>
      </c>
      <c r="R862" s="118">
        <v>0</v>
      </c>
      <c r="S862" s="118">
        <f>P862-Q862-R862</f>
        <v>4178956.32</v>
      </c>
      <c r="T862" s="118">
        <f t="shared" si="119"/>
        <v>4351.3117795895414</v>
      </c>
      <c r="U862" s="118">
        <f>Y862</f>
        <v>4436.7275794208599</v>
      </c>
      <c r="V862" s="183">
        <f t="shared" si="124"/>
        <v>85.415799831318509</v>
      </c>
      <c r="W862" s="183"/>
      <c r="X862" s="183"/>
      <c r="Y862" s="64">
        <f t="shared" si="125"/>
        <v>4436.7275794208599</v>
      </c>
      <c r="AA862" s="64">
        <f t="shared" si="126"/>
        <v>816</v>
      </c>
      <c r="AH862" s="64" t="e">
        <f t="shared" si="127"/>
        <v>#N/A</v>
      </c>
      <c r="AS862" s="64" t="e">
        <f t="shared" si="128"/>
        <v>#N/A</v>
      </c>
    </row>
    <row r="863" spans="1:45" s="64" customFormat="1" ht="36" customHeight="1" x14ac:dyDescent="0.9">
      <c r="B863" s="91" t="s">
        <v>862</v>
      </c>
      <c r="C863" s="91"/>
      <c r="D863" s="126" t="s">
        <v>916</v>
      </c>
      <c r="E863" s="126" t="s">
        <v>916</v>
      </c>
      <c r="F863" s="126" t="s">
        <v>916</v>
      </c>
      <c r="G863" s="126" t="s">
        <v>916</v>
      </c>
      <c r="H863" s="126" t="s">
        <v>916</v>
      </c>
      <c r="I863" s="117">
        <f>I864</f>
        <v>388.8</v>
      </c>
      <c r="J863" s="117">
        <f>J864</f>
        <v>354.2</v>
      </c>
      <c r="K863" s="117">
        <f>K864</f>
        <v>354.2</v>
      </c>
      <c r="L863" s="127">
        <f>L864</f>
        <v>14</v>
      </c>
      <c r="M863" s="126" t="s">
        <v>916</v>
      </c>
      <c r="N863" s="126" t="s">
        <v>916</v>
      </c>
      <c r="O863" s="124" t="s">
        <v>916</v>
      </c>
      <c r="P863" s="118">
        <v>1889236.5</v>
      </c>
      <c r="Q863" s="118">
        <f>Q864</f>
        <v>0</v>
      </c>
      <c r="R863" s="118">
        <f>R864</f>
        <v>0</v>
      </c>
      <c r="S863" s="118">
        <f>S864</f>
        <v>1889236.5</v>
      </c>
      <c r="T863" s="118">
        <f t="shared" si="119"/>
        <v>4859.1473765432102</v>
      </c>
      <c r="U863" s="118">
        <f>U864</f>
        <v>4954.531944444444</v>
      </c>
      <c r="V863" s="183">
        <f t="shared" si="124"/>
        <v>95.384567901233822</v>
      </c>
      <c r="W863" s="183"/>
      <c r="X863" s="183"/>
      <c r="Y863" s="64" t="e">
        <f t="shared" si="125"/>
        <v>#N/A</v>
      </c>
      <c r="AA863" s="64" t="e">
        <f t="shared" si="126"/>
        <v>#N/A</v>
      </c>
      <c r="AH863" s="64" t="e">
        <f t="shared" si="127"/>
        <v>#N/A</v>
      </c>
      <c r="AS863" s="64" t="e">
        <f t="shared" si="128"/>
        <v>#N/A</v>
      </c>
    </row>
    <row r="864" spans="1:45" s="64" customFormat="1" ht="36" customHeight="1" x14ac:dyDescent="0.9">
      <c r="A864" s="64">
        <v>1</v>
      </c>
      <c r="B864" s="92">
        <f>SUBTOTAL(103,$A$548:A864)</f>
        <v>291</v>
      </c>
      <c r="C864" s="91" t="s">
        <v>176</v>
      </c>
      <c r="D864" s="126">
        <v>1969</v>
      </c>
      <c r="E864" s="126"/>
      <c r="F864" s="145" t="s">
        <v>273</v>
      </c>
      <c r="G864" s="126">
        <v>2</v>
      </c>
      <c r="H864" s="126">
        <v>1</v>
      </c>
      <c r="I864" s="117">
        <v>388.8</v>
      </c>
      <c r="J864" s="117">
        <v>354.2</v>
      </c>
      <c r="K864" s="117">
        <v>354.2</v>
      </c>
      <c r="L864" s="127">
        <v>14</v>
      </c>
      <c r="M864" s="126" t="s">
        <v>271</v>
      </c>
      <c r="N864" s="126" t="s">
        <v>345</v>
      </c>
      <c r="O864" s="124" t="s">
        <v>346</v>
      </c>
      <c r="P864" s="118">
        <v>1889236.5</v>
      </c>
      <c r="Q864" s="118">
        <v>0</v>
      </c>
      <c r="R864" s="118">
        <v>0</v>
      </c>
      <c r="S864" s="118">
        <f>P864-Q864-R864</f>
        <v>1889236.5</v>
      </c>
      <c r="T864" s="118">
        <f t="shared" ref="T864:T928" si="129">P864/I864</f>
        <v>4859.1473765432102</v>
      </c>
      <c r="U864" s="118">
        <f>Y864</f>
        <v>4954.531944444444</v>
      </c>
      <c r="V864" s="183">
        <f t="shared" si="124"/>
        <v>95.384567901233822</v>
      </c>
      <c r="W864" s="183"/>
      <c r="X864" s="183"/>
      <c r="Y864" s="64">
        <f t="shared" si="125"/>
        <v>4954.531944444444</v>
      </c>
      <c r="AA864" s="64">
        <f t="shared" si="126"/>
        <v>368.9</v>
      </c>
      <c r="AH864" s="64" t="e">
        <f t="shared" si="127"/>
        <v>#N/A</v>
      </c>
      <c r="AS864" s="64" t="e">
        <f t="shared" si="128"/>
        <v>#N/A</v>
      </c>
    </row>
    <row r="865" spans="1:45" s="64" customFormat="1" ht="36" customHeight="1" x14ac:dyDescent="0.9">
      <c r="B865" s="91" t="s">
        <v>863</v>
      </c>
      <c r="C865" s="172"/>
      <c r="D865" s="126" t="s">
        <v>916</v>
      </c>
      <c r="E865" s="126" t="s">
        <v>916</v>
      </c>
      <c r="F865" s="126" t="s">
        <v>916</v>
      </c>
      <c r="G865" s="126" t="s">
        <v>916</v>
      </c>
      <c r="H865" s="126" t="s">
        <v>916</v>
      </c>
      <c r="I865" s="117">
        <f>SUM(I866:I869)</f>
        <v>3179.8</v>
      </c>
      <c r="J865" s="117">
        <f>SUM(J866:J869)</f>
        <v>2173</v>
      </c>
      <c r="K865" s="117">
        <f>SUM(K866:K869)</f>
        <v>2104</v>
      </c>
      <c r="L865" s="127">
        <f>SUM(L866:L869)</f>
        <v>106</v>
      </c>
      <c r="M865" s="126" t="s">
        <v>916</v>
      </c>
      <c r="N865" s="126" t="s">
        <v>916</v>
      </c>
      <c r="O865" s="124" t="s">
        <v>916</v>
      </c>
      <c r="P865" s="118">
        <v>10103503.050000001</v>
      </c>
      <c r="Q865" s="118">
        <f>SUM(Q866:Q869)</f>
        <v>0</v>
      </c>
      <c r="R865" s="118">
        <f>SUM(R866:R869)</f>
        <v>0</v>
      </c>
      <c r="S865" s="118">
        <f>SUM(S866:S869)</f>
        <v>10103503.050000001</v>
      </c>
      <c r="T865" s="118">
        <f t="shared" si="129"/>
        <v>3177.402053588276</v>
      </c>
      <c r="U865" s="118">
        <f>MAX(U866:U869)</f>
        <v>6814.7507026419344</v>
      </c>
      <c r="V865" s="183">
        <f t="shared" si="124"/>
        <v>3637.3486490536584</v>
      </c>
      <c r="W865" s="183"/>
      <c r="X865" s="183"/>
      <c r="Y865" s="64" t="e">
        <f t="shared" si="125"/>
        <v>#N/A</v>
      </c>
      <c r="AA865" s="64" t="e">
        <f t="shared" si="126"/>
        <v>#N/A</v>
      </c>
      <c r="AH865" s="64" t="e">
        <f t="shared" si="127"/>
        <v>#N/A</v>
      </c>
      <c r="AS865" s="64" t="e">
        <f t="shared" si="128"/>
        <v>#N/A</v>
      </c>
    </row>
    <row r="866" spans="1:45" s="64" customFormat="1" ht="36" customHeight="1" x14ac:dyDescent="0.9">
      <c r="A866" s="64">
        <v>1</v>
      </c>
      <c r="B866" s="92">
        <f>SUBTOTAL(103,$A$548:A866)</f>
        <v>292</v>
      </c>
      <c r="C866" s="91" t="s">
        <v>79</v>
      </c>
      <c r="D866" s="126">
        <v>1962</v>
      </c>
      <c r="E866" s="126"/>
      <c r="F866" s="145" t="s">
        <v>273</v>
      </c>
      <c r="G866" s="126">
        <v>4</v>
      </c>
      <c r="H866" s="126">
        <v>2</v>
      </c>
      <c r="I866" s="117">
        <v>1697.1</v>
      </c>
      <c r="J866" s="117">
        <v>1254</v>
      </c>
      <c r="K866" s="117">
        <v>1254</v>
      </c>
      <c r="L866" s="127">
        <v>38</v>
      </c>
      <c r="M866" s="126" t="s">
        <v>271</v>
      </c>
      <c r="N866" s="126" t="s">
        <v>275</v>
      </c>
      <c r="O866" s="124" t="s">
        <v>282</v>
      </c>
      <c r="P866" s="118">
        <v>3083184.6</v>
      </c>
      <c r="Q866" s="118">
        <v>0</v>
      </c>
      <c r="R866" s="118">
        <v>0</v>
      </c>
      <c r="S866" s="118">
        <f>P866-Q866-R866</f>
        <v>3083184.6</v>
      </c>
      <c r="T866" s="118">
        <f t="shared" si="129"/>
        <v>1816.7371398267635</v>
      </c>
      <c r="U866" s="118">
        <f t="shared" ref="U866:U874" si="130">T866</f>
        <v>1816.7371398267635</v>
      </c>
      <c r="V866" s="183">
        <f t="shared" si="124"/>
        <v>0</v>
      </c>
      <c r="W866" s="183"/>
      <c r="X866" s="183"/>
      <c r="Y866" s="64">
        <f t="shared" si="125"/>
        <v>1569.216899416652</v>
      </c>
      <c r="AA866" s="64">
        <f t="shared" si="126"/>
        <v>510</v>
      </c>
      <c r="AH866" s="64" t="e">
        <f t="shared" si="127"/>
        <v>#N/A</v>
      </c>
      <c r="AS866" s="64" t="e">
        <f t="shared" si="128"/>
        <v>#N/A</v>
      </c>
    </row>
    <row r="867" spans="1:45" s="64" customFormat="1" ht="36" customHeight="1" x14ac:dyDescent="0.9">
      <c r="A867" s="64">
        <v>1</v>
      </c>
      <c r="B867" s="92">
        <f>SUBTOTAL(103,$A$548:A867)</f>
        <v>293</v>
      </c>
      <c r="C867" s="91" t="s">
        <v>80</v>
      </c>
      <c r="D867" s="126">
        <v>1962</v>
      </c>
      <c r="E867" s="126"/>
      <c r="F867" s="145" t="s">
        <v>273</v>
      </c>
      <c r="G867" s="126">
        <v>2</v>
      </c>
      <c r="H867" s="126">
        <v>2</v>
      </c>
      <c r="I867" s="117">
        <v>355.8</v>
      </c>
      <c r="J867" s="117">
        <v>212</v>
      </c>
      <c r="K867" s="117">
        <v>212</v>
      </c>
      <c r="L867" s="127">
        <v>21</v>
      </c>
      <c r="M867" s="126" t="s">
        <v>271</v>
      </c>
      <c r="N867" s="126" t="s">
        <v>272</v>
      </c>
      <c r="O867" s="124" t="s">
        <v>274</v>
      </c>
      <c r="P867" s="118">
        <v>2424688.3000000003</v>
      </c>
      <c r="Q867" s="118">
        <v>0</v>
      </c>
      <c r="R867" s="118">
        <v>0</v>
      </c>
      <c r="S867" s="118">
        <f>P867-Q867-R867</f>
        <v>2424688.3000000003</v>
      </c>
      <c r="T867" s="118">
        <f t="shared" si="129"/>
        <v>6814.7507026419344</v>
      </c>
      <c r="U867" s="118">
        <f t="shared" si="130"/>
        <v>6814.7507026419344</v>
      </c>
      <c r="V867" s="183">
        <f t="shared" si="124"/>
        <v>0</v>
      </c>
      <c r="W867" s="183"/>
      <c r="X867" s="183"/>
      <c r="Y867" s="64">
        <f t="shared" si="125"/>
        <v>6310.7757166947722</v>
      </c>
      <c r="AA867" s="64">
        <f t="shared" si="126"/>
        <v>430</v>
      </c>
      <c r="AH867" s="64" t="e">
        <f t="shared" si="127"/>
        <v>#N/A</v>
      </c>
      <c r="AS867" s="64" t="e">
        <f t="shared" si="128"/>
        <v>#N/A</v>
      </c>
    </row>
    <row r="868" spans="1:45" s="64" customFormat="1" ht="36" customHeight="1" x14ac:dyDescent="0.9">
      <c r="A868" s="64">
        <v>1</v>
      </c>
      <c r="B868" s="92">
        <f>SUBTOTAL(103,$A$548:A868)</f>
        <v>294</v>
      </c>
      <c r="C868" s="91" t="s">
        <v>81</v>
      </c>
      <c r="D868" s="126">
        <v>1964</v>
      </c>
      <c r="E868" s="126"/>
      <c r="F868" s="145" t="s">
        <v>273</v>
      </c>
      <c r="G868" s="126">
        <v>2</v>
      </c>
      <c r="H868" s="126">
        <v>2</v>
      </c>
      <c r="I868" s="117">
        <v>651.6</v>
      </c>
      <c r="J868" s="117">
        <v>412</v>
      </c>
      <c r="K868" s="117">
        <v>385</v>
      </c>
      <c r="L868" s="127">
        <v>42</v>
      </c>
      <c r="M868" s="126" t="s">
        <v>271</v>
      </c>
      <c r="N868" s="126" t="s">
        <v>272</v>
      </c>
      <c r="O868" s="124" t="s">
        <v>274</v>
      </c>
      <c r="P868" s="118">
        <v>2424688.3000000003</v>
      </c>
      <c r="Q868" s="118">
        <v>0</v>
      </c>
      <c r="R868" s="118">
        <v>0</v>
      </c>
      <c r="S868" s="118">
        <f>P868-Q868-R868</f>
        <v>2424688.3000000003</v>
      </c>
      <c r="T868" s="118">
        <f t="shared" si="129"/>
        <v>3721.1299877225297</v>
      </c>
      <c r="U868" s="118">
        <f t="shared" si="130"/>
        <v>3721.1299877225297</v>
      </c>
      <c r="V868" s="183">
        <f t="shared" si="124"/>
        <v>0</v>
      </c>
      <c r="W868" s="183"/>
      <c r="X868" s="183"/>
      <c r="Y868" s="64">
        <f t="shared" si="125"/>
        <v>3445.9392265193369</v>
      </c>
      <c r="AA868" s="64">
        <f t="shared" si="126"/>
        <v>430</v>
      </c>
      <c r="AH868" s="64" t="e">
        <f t="shared" si="127"/>
        <v>#N/A</v>
      </c>
      <c r="AS868" s="64" t="e">
        <f t="shared" si="128"/>
        <v>#N/A</v>
      </c>
    </row>
    <row r="869" spans="1:45" s="64" customFormat="1" ht="36" customHeight="1" x14ac:dyDescent="0.9">
      <c r="A869" s="64">
        <v>1</v>
      </c>
      <c r="B869" s="92">
        <f>SUBTOTAL(103,$A$548:A869)</f>
        <v>295</v>
      </c>
      <c r="C869" s="91" t="s">
        <v>78</v>
      </c>
      <c r="D869" s="126">
        <v>1929</v>
      </c>
      <c r="E869" s="126"/>
      <c r="F869" s="145" t="s">
        <v>273</v>
      </c>
      <c r="G869" s="126">
        <v>3</v>
      </c>
      <c r="H869" s="126">
        <v>1</v>
      </c>
      <c r="I869" s="117">
        <v>475.3</v>
      </c>
      <c r="J869" s="117">
        <v>295</v>
      </c>
      <c r="K869" s="117">
        <v>253</v>
      </c>
      <c r="L869" s="127">
        <v>5</v>
      </c>
      <c r="M869" s="126" t="s">
        <v>271</v>
      </c>
      <c r="N869" s="126" t="s">
        <v>272</v>
      </c>
      <c r="O869" s="124" t="s">
        <v>274</v>
      </c>
      <c r="P869" s="118">
        <v>2170941.85</v>
      </c>
      <c r="Q869" s="118">
        <v>0</v>
      </c>
      <c r="R869" s="118">
        <v>0</v>
      </c>
      <c r="S869" s="118">
        <f>P869-Q869-R869</f>
        <v>2170941.85</v>
      </c>
      <c r="T869" s="118">
        <f t="shared" si="129"/>
        <v>4567.5191458026511</v>
      </c>
      <c r="U869" s="118">
        <f t="shared" si="130"/>
        <v>4567.5191458026511</v>
      </c>
      <c r="V869" s="183">
        <f t="shared" si="124"/>
        <v>0</v>
      </c>
      <c r="W869" s="183"/>
      <c r="X869" s="183"/>
      <c r="Y869" s="64">
        <f t="shared" si="125"/>
        <v>4229.7349042709866</v>
      </c>
      <c r="AA869" s="64">
        <f t="shared" si="126"/>
        <v>385</v>
      </c>
      <c r="AH869" s="64" t="e">
        <f t="shared" si="127"/>
        <v>#N/A</v>
      </c>
      <c r="AS869" s="64" t="e">
        <f t="shared" si="128"/>
        <v>#N/A</v>
      </c>
    </row>
    <row r="870" spans="1:45" s="64" customFormat="1" ht="36" customHeight="1" x14ac:dyDescent="0.9">
      <c r="B870" s="91" t="s">
        <v>897</v>
      </c>
      <c r="C870" s="91"/>
      <c r="D870" s="126" t="s">
        <v>916</v>
      </c>
      <c r="E870" s="126" t="s">
        <v>916</v>
      </c>
      <c r="F870" s="126" t="s">
        <v>916</v>
      </c>
      <c r="G870" s="126" t="s">
        <v>916</v>
      </c>
      <c r="H870" s="126" t="s">
        <v>916</v>
      </c>
      <c r="I870" s="117">
        <f>SUM(I871:I872)</f>
        <v>530.5</v>
      </c>
      <c r="J870" s="117">
        <f>SUM(J871:J872)</f>
        <v>481.3</v>
      </c>
      <c r="K870" s="117">
        <f>SUM(K871:K872)</f>
        <v>481.3</v>
      </c>
      <c r="L870" s="127">
        <f>SUM(L871:L872)</f>
        <v>25</v>
      </c>
      <c r="M870" s="126" t="s">
        <v>916</v>
      </c>
      <c r="N870" s="126" t="s">
        <v>916</v>
      </c>
      <c r="O870" s="124" t="s">
        <v>916</v>
      </c>
      <c r="P870" s="118">
        <v>2766932.97</v>
      </c>
      <c r="Q870" s="118">
        <f>Q871+Q872</f>
        <v>0</v>
      </c>
      <c r="R870" s="118">
        <f>R871+R872</f>
        <v>0</v>
      </c>
      <c r="S870" s="118">
        <f>S871+S872</f>
        <v>2766932.97</v>
      </c>
      <c r="T870" s="118">
        <f t="shared" si="129"/>
        <v>5215.7077662582469</v>
      </c>
      <c r="U870" s="118">
        <f t="shared" si="130"/>
        <v>5215.7077662582469</v>
      </c>
      <c r="V870" s="183">
        <f t="shared" si="124"/>
        <v>0</v>
      </c>
      <c r="W870" s="183"/>
      <c r="X870" s="183"/>
      <c r="Y870" s="64" t="e">
        <f t="shared" si="125"/>
        <v>#N/A</v>
      </c>
      <c r="AA870" s="64" t="e">
        <f t="shared" si="126"/>
        <v>#N/A</v>
      </c>
      <c r="AH870" s="64" t="e">
        <f t="shared" si="127"/>
        <v>#N/A</v>
      </c>
      <c r="AS870" s="64" t="e">
        <f t="shared" si="128"/>
        <v>#N/A</v>
      </c>
    </row>
    <row r="871" spans="1:45" s="64" customFormat="1" ht="36" customHeight="1" x14ac:dyDescent="0.9">
      <c r="A871" s="64">
        <v>1</v>
      </c>
      <c r="B871" s="92">
        <f>SUBTOTAL(103,$A$548:A871)</f>
        <v>296</v>
      </c>
      <c r="C871" s="91" t="s">
        <v>82</v>
      </c>
      <c r="D871" s="126">
        <v>1931</v>
      </c>
      <c r="E871" s="126"/>
      <c r="F871" s="145" t="s">
        <v>273</v>
      </c>
      <c r="G871" s="126">
        <v>2</v>
      </c>
      <c r="H871" s="126">
        <v>1</v>
      </c>
      <c r="I871" s="117">
        <v>320</v>
      </c>
      <c r="J871" s="117">
        <v>297</v>
      </c>
      <c r="K871" s="117">
        <v>297</v>
      </c>
      <c r="L871" s="127">
        <v>16</v>
      </c>
      <c r="M871" s="126" t="s">
        <v>271</v>
      </c>
      <c r="N871" s="126" t="s">
        <v>272</v>
      </c>
      <c r="O871" s="124" t="s">
        <v>274</v>
      </c>
      <c r="P871" s="118">
        <v>1818947.37</v>
      </c>
      <c r="Q871" s="118">
        <v>0</v>
      </c>
      <c r="R871" s="118">
        <v>0</v>
      </c>
      <c r="S871" s="118">
        <f>P871-Q871-R871</f>
        <v>1818947.37</v>
      </c>
      <c r="T871" s="118">
        <f t="shared" si="129"/>
        <v>5684.2105312500007</v>
      </c>
      <c r="U871" s="118">
        <f t="shared" si="130"/>
        <v>5684.2105312500007</v>
      </c>
      <c r="V871" s="183">
        <f t="shared" si="124"/>
        <v>0</v>
      </c>
      <c r="W871" s="183"/>
      <c r="X871" s="183"/>
      <c r="Y871" s="64">
        <f t="shared" si="125"/>
        <v>5009.6643750000003</v>
      </c>
      <c r="AA871" s="64">
        <f t="shared" si="126"/>
        <v>307</v>
      </c>
      <c r="AH871" s="64" t="e">
        <f t="shared" si="127"/>
        <v>#N/A</v>
      </c>
      <c r="AS871" s="64" t="e">
        <f t="shared" si="128"/>
        <v>#N/A</v>
      </c>
    </row>
    <row r="872" spans="1:45" s="64" customFormat="1" ht="36" customHeight="1" x14ac:dyDescent="0.9">
      <c r="A872" s="64">
        <v>1</v>
      </c>
      <c r="B872" s="92">
        <f>SUBTOTAL(103,$A$548:A872)</f>
        <v>297</v>
      </c>
      <c r="C872" s="91" t="s">
        <v>83</v>
      </c>
      <c r="D872" s="126">
        <v>1965</v>
      </c>
      <c r="E872" s="126"/>
      <c r="F872" s="145" t="s">
        <v>273</v>
      </c>
      <c r="G872" s="126">
        <v>2</v>
      </c>
      <c r="H872" s="126">
        <v>1</v>
      </c>
      <c r="I872" s="117">
        <v>210.5</v>
      </c>
      <c r="J872" s="117">
        <v>184.3</v>
      </c>
      <c r="K872" s="117">
        <v>184.3</v>
      </c>
      <c r="L872" s="127">
        <v>9</v>
      </c>
      <c r="M872" s="126" t="s">
        <v>271</v>
      </c>
      <c r="N872" s="126" t="s">
        <v>275</v>
      </c>
      <c r="O872" s="124" t="s">
        <v>285</v>
      </c>
      <c r="P872" s="118">
        <v>947985.6</v>
      </c>
      <c r="Q872" s="118">
        <v>0</v>
      </c>
      <c r="R872" s="118">
        <v>0</v>
      </c>
      <c r="S872" s="118">
        <f>P872-Q872-R872</f>
        <v>947985.6</v>
      </c>
      <c r="T872" s="118">
        <f t="shared" si="129"/>
        <v>4503.494536817102</v>
      </c>
      <c r="U872" s="118">
        <f t="shared" si="130"/>
        <v>4503.494536817102</v>
      </c>
      <c r="V872" s="183">
        <f t="shared" si="124"/>
        <v>0</v>
      </c>
      <c r="W872" s="183"/>
      <c r="X872" s="183"/>
      <c r="Y872" s="64">
        <f t="shared" si="125"/>
        <v>3969.0641330166272</v>
      </c>
      <c r="AA872" s="64">
        <f t="shared" si="126"/>
        <v>160</v>
      </c>
      <c r="AH872" s="64" t="e">
        <f t="shared" si="127"/>
        <v>#N/A</v>
      </c>
      <c r="AS872" s="64" t="e">
        <f t="shared" si="128"/>
        <v>#N/A</v>
      </c>
    </row>
    <row r="873" spans="1:45" s="64" customFormat="1" ht="36" customHeight="1" x14ac:dyDescent="0.9">
      <c r="B873" s="91" t="s">
        <v>898</v>
      </c>
      <c r="C873" s="91"/>
      <c r="D873" s="126" t="s">
        <v>916</v>
      </c>
      <c r="E873" s="126" t="s">
        <v>916</v>
      </c>
      <c r="F873" s="126" t="s">
        <v>916</v>
      </c>
      <c r="G873" s="126" t="s">
        <v>916</v>
      </c>
      <c r="H873" s="126" t="s">
        <v>916</v>
      </c>
      <c r="I873" s="117">
        <f>I874</f>
        <v>654.5</v>
      </c>
      <c r="J873" s="117">
        <f>J874</f>
        <v>614.5</v>
      </c>
      <c r="K873" s="117">
        <f>K874</f>
        <v>614.5</v>
      </c>
      <c r="L873" s="127">
        <f>L874</f>
        <v>19</v>
      </c>
      <c r="M873" s="126" t="s">
        <v>916</v>
      </c>
      <c r="N873" s="126" t="s">
        <v>916</v>
      </c>
      <c r="O873" s="124" t="s">
        <v>916</v>
      </c>
      <c r="P873" s="118">
        <v>2568179.12</v>
      </c>
      <c r="Q873" s="118">
        <f>Q874</f>
        <v>0</v>
      </c>
      <c r="R873" s="118">
        <f>R874</f>
        <v>0</v>
      </c>
      <c r="S873" s="118">
        <f>S874</f>
        <v>2568179.12</v>
      </c>
      <c r="T873" s="118">
        <f t="shared" si="129"/>
        <v>3923.8794805194807</v>
      </c>
      <c r="U873" s="118">
        <f t="shared" si="130"/>
        <v>3923.8794805194807</v>
      </c>
      <c r="V873" s="183">
        <f t="shared" si="124"/>
        <v>0</v>
      </c>
      <c r="W873" s="183"/>
      <c r="X873" s="183"/>
      <c r="Y873" s="64" t="e">
        <f t="shared" si="125"/>
        <v>#N/A</v>
      </c>
      <c r="AA873" s="64" t="e">
        <f t="shared" si="126"/>
        <v>#N/A</v>
      </c>
      <c r="AH873" s="64" t="e">
        <f t="shared" si="127"/>
        <v>#N/A</v>
      </c>
      <c r="AS873" s="64" t="e">
        <f t="shared" si="128"/>
        <v>#N/A</v>
      </c>
    </row>
    <row r="874" spans="1:45" s="64" customFormat="1" ht="36" customHeight="1" x14ac:dyDescent="0.9">
      <c r="A874" s="64">
        <v>1</v>
      </c>
      <c r="B874" s="92">
        <f>SUBTOTAL(103,$A$548:A874)</f>
        <v>298</v>
      </c>
      <c r="C874" s="91" t="s">
        <v>84</v>
      </c>
      <c r="D874" s="126">
        <v>1964</v>
      </c>
      <c r="E874" s="126"/>
      <c r="F874" s="145" t="s">
        <v>273</v>
      </c>
      <c r="G874" s="126">
        <v>2</v>
      </c>
      <c r="H874" s="126">
        <v>2</v>
      </c>
      <c r="I874" s="117">
        <v>654.5</v>
      </c>
      <c r="J874" s="117">
        <v>614.5</v>
      </c>
      <c r="K874" s="117">
        <v>614.5</v>
      </c>
      <c r="L874" s="127">
        <v>19</v>
      </c>
      <c r="M874" s="126" t="s">
        <v>271</v>
      </c>
      <c r="N874" s="126" t="s">
        <v>272</v>
      </c>
      <c r="O874" s="124" t="s">
        <v>274</v>
      </c>
      <c r="P874" s="118">
        <v>2568179.12</v>
      </c>
      <c r="Q874" s="118">
        <v>0</v>
      </c>
      <c r="R874" s="118">
        <v>0</v>
      </c>
      <c r="S874" s="118">
        <f>P874-Q874-R874</f>
        <v>2568179.12</v>
      </c>
      <c r="T874" s="118">
        <f t="shared" si="129"/>
        <v>3923.8794805194807</v>
      </c>
      <c r="U874" s="118">
        <f t="shared" si="130"/>
        <v>3923.8794805194807</v>
      </c>
      <c r="V874" s="183">
        <f t="shared" si="124"/>
        <v>0</v>
      </c>
      <c r="W874" s="183"/>
      <c r="X874" s="183"/>
      <c r="Y874" s="64">
        <f t="shared" si="125"/>
        <v>3186.7739862490453</v>
      </c>
      <c r="AA874" s="64">
        <f t="shared" si="126"/>
        <v>399.43</v>
      </c>
      <c r="AH874" s="64" t="e">
        <f t="shared" si="127"/>
        <v>#N/A</v>
      </c>
      <c r="AS874" s="64" t="e">
        <f t="shared" si="128"/>
        <v>#N/A</v>
      </c>
    </row>
    <row r="875" spans="1:45" s="64" customFormat="1" ht="36" customHeight="1" x14ac:dyDescent="0.9">
      <c r="B875" s="91" t="s">
        <v>865</v>
      </c>
      <c r="C875" s="172"/>
      <c r="D875" s="126" t="s">
        <v>916</v>
      </c>
      <c r="E875" s="126" t="s">
        <v>916</v>
      </c>
      <c r="F875" s="126" t="s">
        <v>916</v>
      </c>
      <c r="G875" s="126" t="s">
        <v>916</v>
      </c>
      <c r="H875" s="126" t="s">
        <v>916</v>
      </c>
      <c r="I875" s="117">
        <f>I876</f>
        <v>1244.4000000000001</v>
      </c>
      <c r="J875" s="117">
        <f>J876</f>
        <v>727.8</v>
      </c>
      <c r="K875" s="117">
        <f>K876</f>
        <v>584.79999999999995</v>
      </c>
      <c r="L875" s="127">
        <f>L876</f>
        <v>34</v>
      </c>
      <c r="M875" s="126" t="s">
        <v>916</v>
      </c>
      <c r="N875" s="126" t="s">
        <v>916</v>
      </c>
      <c r="O875" s="124" t="s">
        <v>916</v>
      </c>
      <c r="P875" s="118">
        <v>2981647.8</v>
      </c>
      <c r="Q875" s="118">
        <f>Q876</f>
        <v>0</v>
      </c>
      <c r="R875" s="118">
        <f>R876</f>
        <v>0</v>
      </c>
      <c r="S875" s="118">
        <f>S876</f>
        <v>2981647.8</v>
      </c>
      <c r="T875" s="118">
        <f t="shared" si="129"/>
        <v>2396.0525554484084</v>
      </c>
      <c r="U875" s="118">
        <f>U876</f>
        <v>2396.0525554484088</v>
      </c>
      <c r="V875" s="183">
        <f t="shared" si="124"/>
        <v>0</v>
      </c>
      <c r="W875" s="183"/>
      <c r="X875" s="183"/>
      <c r="Y875" s="64" t="e">
        <f t="shared" si="125"/>
        <v>#N/A</v>
      </c>
      <c r="AA875" s="64" t="e">
        <f t="shared" si="126"/>
        <v>#N/A</v>
      </c>
      <c r="AH875" s="64" t="e">
        <f t="shared" si="127"/>
        <v>#N/A</v>
      </c>
      <c r="AS875" s="64" t="e">
        <f t="shared" si="128"/>
        <v>#N/A</v>
      </c>
    </row>
    <row r="876" spans="1:45" s="64" customFormat="1" ht="36" customHeight="1" x14ac:dyDescent="0.9">
      <c r="A876" s="64">
        <v>1</v>
      </c>
      <c r="B876" s="92">
        <f>SUBTOTAL(103,$A$548:A876)</f>
        <v>299</v>
      </c>
      <c r="C876" s="91" t="s">
        <v>107</v>
      </c>
      <c r="D876" s="126">
        <v>1975</v>
      </c>
      <c r="E876" s="126"/>
      <c r="F876" s="145" t="s">
        <v>273</v>
      </c>
      <c r="G876" s="126">
        <v>2</v>
      </c>
      <c r="H876" s="126">
        <v>2</v>
      </c>
      <c r="I876" s="117">
        <v>1244.4000000000001</v>
      </c>
      <c r="J876" s="117">
        <v>727.8</v>
      </c>
      <c r="K876" s="117">
        <v>584.79999999999995</v>
      </c>
      <c r="L876" s="127">
        <v>34</v>
      </c>
      <c r="M876" s="126" t="s">
        <v>271</v>
      </c>
      <c r="N876" s="126" t="s">
        <v>272</v>
      </c>
      <c r="O876" s="124" t="s">
        <v>274</v>
      </c>
      <c r="P876" s="118">
        <v>2981647.8</v>
      </c>
      <c r="Q876" s="118">
        <v>0</v>
      </c>
      <c r="R876" s="118">
        <v>0</v>
      </c>
      <c r="S876" s="118">
        <f>P876-Q876-R876</f>
        <v>2981647.8</v>
      </c>
      <c r="T876" s="118">
        <f t="shared" si="129"/>
        <v>2396.0525554484084</v>
      </c>
      <c r="U876" s="118">
        <f>Y876</f>
        <v>2396.0525554484088</v>
      </c>
      <c r="V876" s="183">
        <f t="shared" si="124"/>
        <v>0</v>
      </c>
      <c r="W876" s="183"/>
      <c r="X876" s="183"/>
      <c r="Y876" s="64">
        <f t="shared" si="125"/>
        <v>2396.0525554484088</v>
      </c>
      <c r="AA876" s="64">
        <f t="shared" si="126"/>
        <v>571</v>
      </c>
      <c r="AH876" s="64" t="e">
        <f t="shared" si="127"/>
        <v>#N/A</v>
      </c>
      <c r="AS876" s="64" t="e">
        <f t="shared" si="128"/>
        <v>#N/A</v>
      </c>
    </row>
    <row r="877" spans="1:45" s="64" customFormat="1" ht="36" customHeight="1" x14ac:dyDescent="0.9">
      <c r="B877" s="91" t="s">
        <v>899</v>
      </c>
      <c r="C877" s="91"/>
      <c r="D877" s="126" t="s">
        <v>916</v>
      </c>
      <c r="E877" s="126" t="s">
        <v>916</v>
      </c>
      <c r="F877" s="126" t="s">
        <v>916</v>
      </c>
      <c r="G877" s="126" t="s">
        <v>916</v>
      </c>
      <c r="H877" s="126" t="s">
        <v>916</v>
      </c>
      <c r="I877" s="117">
        <f>I878</f>
        <v>948.2</v>
      </c>
      <c r="J877" s="117">
        <f>J878</f>
        <v>849.8</v>
      </c>
      <c r="K877" s="117">
        <f>K878</f>
        <v>803.9</v>
      </c>
      <c r="L877" s="127">
        <f>L878</f>
        <v>43</v>
      </c>
      <c r="M877" s="126" t="s">
        <v>916</v>
      </c>
      <c r="N877" s="126" t="s">
        <v>916</v>
      </c>
      <c r="O877" s="124" t="s">
        <v>916</v>
      </c>
      <c r="P877" s="118">
        <v>4290230.8800000008</v>
      </c>
      <c r="Q877" s="118">
        <f>Q878</f>
        <v>0</v>
      </c>
      <c r="R877" s="118">
        <f>R878</f>
        <v>0</v>
      </c>
      <c r="S877" s="118">
        <f>S878</f>
        <v>4290230.8800000008</v>
      </c>
      <c r="T877" s="118">
        <f t="shared" si="129"/>
        <v>4524.6054418898975</v>
      </c>
      <c r="U877" s="118">
        <f>U878</f>
        <v>4524.6054418898966</v>
      </c>
      <c r="V877" s="183">
        <f t="shared" si="124"/>
        <v>0</v>
      </c>
      <c r="W877" s="183"/>
      <c r="X877" s="183"/>
      <c r="Y877" s="64" t="e">
        <f t="shared" si="125"/>
        <v>#N/A</v>
      </c>
      <c r="AA877" s="64" t="e">
        <f t="shared" si="126"/>
        <v>#N/A</v>
      </c>
      <c r="AH877" s="64" t="e">
        <f t="shared" si="127"/>
        <v>#N/A</v>
      </c>
      <c r="AS877" s="64" t="e">
        <f t="shared" si="128"/>
        <v>#N/A</v>
      </c>
    </row>
    <row r="878" spans="1:45" s="64" customFormat="1" ht="36" customHeight="1" x14ac:dyDescent="0.9">
      <c r="A878" s="64">
        <v>1</v>
      </c>
      <c r="B878" s="92">
        <f>SUBTOTAL(103,$A$548:A878)</f>
        <v>300</v>
      </c>
      <c r="C878" s="91" t="s">
        <v>113</v>
      </c>
      <c r="D878" s="126">
        <v>1978</v>
      </c>
      <c r="E878" s="126"/>
      <c r="F878" s="145" t="s">
        <v>273</v>
      </c>
      <c r="G878" s="126">
        <v>2</v>
      </c>
      <c r="H878" s="126">
        <v>3</v>
      </c>
      <c r="I878" s="117">
        <v>948.2</v>
      </c>
      <c r="J878" s="117">
        <v>849.8</v>
      </c>
      <c r="K878" s="117">
        <v>803.9</v>
      </c>
      <c r="L878" s="127">
        <v>43</v>
      </c>
      <c r="M878" s="126" t="s">
        <v>271</v>
      </c>
      <c r="N878" s="126" t="s">
        <v>272</v>
      </c>
      <c r="O878" s="124" t="s">
        <v>274</v>
      </c>
      <c r="P878" s="118">
        <v>4290230.8800000008</v>
      </c>
      <c r="Q878" s="118">
        <v>0</v>
      </c>
      <c r="R878" s="118">
        <v>0</v>
      </c>
      <c r="S878" s="118">
        <f>P878-Q878-R878</f>
        <v>4290230.8800000008</v>
      </c>
      <c r="T878" s="118">
        <f t="shared" si="129"/>
        <v>4524.6054418898975</v>
      </c>
      <c r="U878" s="118">
        <f>Y878</f>
        <v>4524.6054418898966</v>
      </c>
      <c r="V878" s="183">
        <f t="shared" si="124"/>
        <v>0</v>
      </c>
      <c r="W878" s="183"/>
      <c r="X878" s="183"/>
      <c r="Y878" s="64">
        <f t="shared" si="125"/>
        <v>4524.6054418898966</v>
      </c>
      <c r="AA878" s="64">
        <f t="shared" si="126"/>
        <v>821.6</v>
      </c>
      <c r="AH878" s="64" t="e">
        <f t="shared" si="127"/>
        <v>#N/A</v>
      </c>
      <c r="AS878" s="64" t="e">
        <f t="shared" si="128"/>
        <v>#N/A</v>
      </c>
    </row>
    <row r="879" spans="1:45" s="64" customFormat="1" ht="36" customHeight="1" x14ac:dyDescent="0.9">
      <c r="B879" s="91" t="s">
        <v>900</v>
      </c>
      <c r="C879" s="91"/>
      <c r="D879" s="126" t="s">
        <v>916</v>
      </c>
      <c r="E879" s="126" t="s">
        <v>916</v>
      </c>
      <c r="F879" s="126" t="s">
        <v>916</v>
      </c>
      <c r="G879" s="126" t="s">
        <v>916</v>
      </c>
      <c r="H879" s="126" t="s">
        <v>916</v>
      </c>
      <c r="I879" s="117">
        <f>I880</f>
        <v>779.2</v>
      </c>
      <c r="J879" s="117">
        <f>J880</f>
        <v>720.2</v>
      </c>
      <c r="K879" s="117">
        <f>K880</f>
        <v>720.2</v>
      </c>
      <c r="L879" s="127">
        <f>L880</f>
        <v>33</v>
      </c>
      <c r="M879" s="126" t="s">
        <v>916</v>
      </c>
      <c r="N879" s="126" t="s">
        <v>916</v>
      </c>
      <c r="O879" s="124" t="s">
        <v>916</v>
      </c>
      <c r="P879" s="118">
        <v>2903320.8000000003</v>
      </c>
      <c r="Q879" s="118">
        <f>Q880</f>
        <v>0</v>
      </c>
      <c r="R879" s="118">
        <f>R880</f>
        <v>0</v>
      </c>
      <c r="S879" s="118">
        <f>S880</f>
        <v>2903320.8000000003</v>
      </c>
      <c r="T879" s="118">
        <f t="shared" si="129"/>
        <v>3726.0277207392201</v>
      </c>
      <c r="U879" s="118">
        <f>U880</f>
        <v>3726.0277207392201</v>
      </c>
      <c r="V879" s="183">
        <f t="shared" si="124"/>
        <v>0</v>
      </c>
      <c r="W879" s="183"/>
      <c r="X879" s="183"/>
      <c r="Y879" s="64" t="e">
        <f t="shared" si="125"/>
        <v>#N/A</v>
      </c>
      <c r="AA879" s="64" t="e">
        <f t="shared" si="126"/>
        <v>#N/A</v>
      </c>
      <c r="AH879" s="64" t="e">
        <f t="shared" si="127"/>
        <v>#N/A</v>
      </c>
      <c r="AS879" s="64" t="e">
        <f t="shared" si="128"/>
        <v>#N/A</v>
      </c>
    </row>
    <row r="880" spans="1:45" s="64" customFormat="1" ht="36" customHeight="1" x14ac:dyDescent="0.9">
      <c r="A880" s="64">
        <v>1</v>
      </c>
      <c r="B880" s="92">
        <f>SUBTOTAL(103,$A$548:A880)</f>
        <v>301</v>
      </c>
      <c r="C880" s="91" t="s">
        <v>112</v>
      </c>
      <c r="D880" s="126">
        <v>1974</v>
      </c>
      <c r="E880" s="126"/>
      <c r="F880" s="145" t="s">
        <v>273</v>
      </c>
      <c r="G880" s="126">
        <v>2</v>
      </c>
      <c r="H880" s="126">
        <v>2</v>
      </c>
      <c r="I880" s="117">
        <v>779.2</v>
      </c>
      <c r="J880" s="117">
        <v>720.2</v>
      </c>
      <c r="K880" s="117">
        <v>720.2</v>
      </c>
      <c r="L880" s="127">
        <v>33</v>
      </c>
      <c r="M880" s="126" t="s">
        <v>271</v>
      </c>
      <c r="N880" s="126" t="s">
        <v>272</v>
      </c>
      <c r="O880" s="124" t="s">
        <v>274</v>
      </c>
      <c r="P880" s="118">
        <v>2903320.8000000003</v>
      </c>
      <c r="Q880" s="118">
        <v>0</v>
      </c>
      <c r="R880" s="118">
        <v>0</v>
      </c>
      <c r="S880" s="118">
        <f>P880-Q880-R880</f>
        <v>2903320.8000000003</v>
      </c>
      <c r="T880" s="118">
        <f t="shared" si="129"/>
        <v>3726.0277207392201</v>
      </c>
      <c r="U880" s="118">
        <f>Y880</f>
        <v>3726.0277207392201</v>
      </c>
      <c r="V880" s="183">
        <f t="shared" si="124"/>
        <v>0</v>
      </c>
      <c r="W880" s="183"/>
      <c r="X880" s="183"/>
      <c r="Y880" s="64">
        <f t="shared" si="125"/>
        <v>3726.0277207392201</v>
      </c>
      <c r="AA880" s="64">
        <f t="shared" si="126"/>
        <v>556</v>
      </c>
      <c r="AH880" s="64" t="e">
        <f t="shared" si="127"/>
        <v>#N/A</v>
      </c>
      <c r="AS880" s="64" t="e">
        <f t="shared" si="128"/>
        <v>#N/A</v>
      </c>
    </row>
    <row r="881" spans="1:45" s="64" customFormat="1" ht="36" customHeight="1" x14ac:dyDescent="0.9">
      <c r="B881" s="91" t="s">
        <v>866</v>
      </c>
      <c r="C881" s="172"/>
      <c r="D881" s="126" t="s">
        <v>916</v>
      </c>
      <c r="E881" s="126" t="s">
        <v>916</v>
      </c>
      <c r="F881" s="126" t="s">
        <v>916</v>
      </c>
      <c r="G881" s="126" t="s">
        <v>916</v>
      </c>
      <c r="H881" s="126" t="s">
        <v>916</v>
      </c>
      <c r="I881" s="117">
        <f>I882</f>
        <v>1015.6</v>
      </c>
      <c r="J881" s="117">
        <f>J882</f>
        <v>926.7</v>
      </c>
      <c r="K881" s="117">
        <f>K882</f>
        <v>497.5</v>
      </c>
      <c r="L881" s="127">
        <f>L882</f>
        <v>47</v>
      </c>
      <c r="M881" s="126" t="s">
        <v>916</v>
      </c>
      <c r="N881" s="126" t="s">
        <v>916</v>
      </c>
      <c r="O881" s="124" t="s">
        <v>916</v>
      </c>
      <c r="P881" s="118">
        <v>3826397.3000000003</v>
      </c>
      <c r="Q881" s="118">
        <f>Q882</f>
        <v>0</v>
      </c>
      <c r="R881" s="118">
        <f>R882</f>
        <v>2523423.19</v>
      </c>
      <c r="S881" s="118">
        <f>S882</f>
        <v>1302974.1100000003</v>
      </c>
      <c r="T881" s="118">
        <f t="shared" si="129"/>
        <v>3767.6223907050021</v>
      </c>
      <c r="U881" s="118">
        <f>U882</f>
        <v>4083.9658723907046</v>
      </c>
      <c r="V881" s="183">
        <f t="shared" si="124"/>
        <v>316.3434816857025</v>
      </c>
      <c r="W881" s="183"/>
      <c r="X881" s="183"/>
      <c r="Y881" s="64" t="e">
        <f t="shared" si="125"/>
        <v>#N/A</v>
      </c>
      <c r="AA881" s="64" t="e">
        <f t="shared" si="126"/>
        <v>#N/A</v>
      </c>
      <c r="AH881" s="64" t="e">
        <f t="shared" si="127"/>
        <v>#N/A</v>
      </c>
      <c r="AS881" s="64" t="e">
        <f t="shared" si="128"/>
        <v>#N/A</v>
      </c>
    </row>
    <row r="882" spans="1:45" s="64" customFormat="1" ht="36" customHeight="1" x14ac:dyDescent="0.9">
      <c r="A882" s="64">
        <v>1</v>
      </c>
      <c r="B882" s="92">
        <f>SUBTOTAL(103,$A$548:A882)</f>
        <v>302</v>
      </c>
      <c r="C882" s="91" t="s">
        <v>57</v>
      </c>
      <c r="D882" s="126">
        <v>1972</v>
      </c>
      <c r="E882" s="126"/>
      <c r="F882" s="145" t="s">
        <v>273</v>
      </c>
      <c r="G882" s="126">
        <v>2</v>
      </c>
      <c r="H882" s="126">
        <v>3</v>
      </c>
      <c r="I882" s="117">
        <v>1015.6</v>
      </c>
      <c r="J882" s="117">
        <v>926.7</v>
      </c>
      <c r="K882" s="117">
        <v>497.5</v>
      </c>
      <c r="L882" s="127">
        <v>47</v>
      </c>
      <c r="M882" s="126" t="s">
        <v>271</v>
      </c>
      <c r="N882" s="126" t="s">
        <v>272</v>
      </c>
      <c r="O882" s="124" t="s">
        <v>274</v>
      </c>
      <c r="P882" s="118">
        <v>3826397.3000000003</v>
      </c>
      <c r="Q882" s="118">
        <v>0</v>
      </c>
      <c r="R882" s="118">
        <v>2523423.19</v>
      </c>
      <c r="S882" s="118">
        <f>P882-Q882-R882</f>
        <v>1302974.1100000003</v>
      </c>
      <c r="T882" s="118">
        <f t="shared" si="129"/>
        <v>3767.6223907050021</v>
      </c>
      <c r="U882" s="118">
        <f>Y882</f>
        <v>4083.9658723907046</v>
      </c>
      <c r="V882" s="183">
        <f t="shared" si="124"/>
        <v>316.3434816857025</v>
      </c>
      <c r="W882" s="183"/>
      <c r="X882" s="183"/>
      <c r="Y882" s="64">
        <f t="shared" si="125"/>
        <v>4083.9658723907046</v>
      </c>
      <c r="AA882" s="64">
        <f t="shared" si="126"/>
        <v>794.3</v>
      </c>
      <c r="AH882" s="64" t="e">
        <f t="shared" si="127"/>
        <v>#N/A</v>
      </c>
      <c r="AS882" s="64" t="e">
        <f t="shared" si="128"/>
        <v>#N/A</v>
      </c>
    </row>
    <row r="883" spans="1:45" s="64" customFormat="1" ht="36" customHeight="1" x14ac:dyDescent="0.9">
      <c r="B883" s="91" t="s">
        <v>867</v>
      </c>
      <c r="C883" s="91"/>
      <c r="D883" s="126" t="s">
        <v>916</v>
      </c>
      <c r="E883" s="126" t="s">
        <v>916</v>
      </c>
      <c r="F883" s="126" t="s">
        <v>916</v>
      </c>
      <c r="G883" s="126" t="s">
        <v>916</v>
      </c>
      <c r="H883" s="126" t="s">
        <v>916</v>
      </c>
      <c r="I883" s="117">
        <f>I884</f>
        <v>5979.1</v>
      </c>
      <c r="J883" s="117">
        <f>J884</f>
        <v>5979.1</v>
      </c>
      <c r="K883" s="117">
        <f>K884</f>
        <v>4563.9399999999996</v>
      </c>
      <c r="L883" s="127">
        <f>L884</f>
        <v>217</v>
      </c>
      <c r="M883" s="126" t="s">
        <v>916</v>
      </c>
      <c r="N883" s="126" t="s">
        <v>916</v>
      </c>
      <c r="O883" s="124" t="s">
        <v>916</v>
      </c>
      <c r="P883" s="118">
        <v>5858309.4800000004</v>
      </c>
      <c r="Q883" s="118">
        <f>Q884</f>
        <v>0</v>
      </c>
      <c r="R883" s="118">
        <f>R884</f>
        <v>0</v>
      </c>
      <c r="S883" s="118">
        <f>S884</f>
        <v>5858309.4800000004</v>
      </c>
      <c r="T883" s="118">
        <f t="shared" si="129"/>
        <v>979.79787593450521</v>
      </c>
      <c r="U883" s="118">
        <f>U884</f>
        <v>1376.3872154672108</v>
      </c>
      <c r="V883" s="183">
        <f t="shared" si="124"/>
        <v>396.58933953270559</v>
      </c>
      <c r="W883" s="183"/>
      <c r="X883" s="183"/>
      <c r="Y883" s="64" t="e">
        <f t="shared" si="125"/>
        <v>#N/A</v>
      </c>
      <c r="AA883" s="64" t="e">
        <f t="shared" si="126"/>
        <v>#N/A</v>
      </c>
      <c r="AH883" s="64" t="e">
        <f t="shared" si="127"/>
        <v>#N/A</v>
      </c>
      <c r="AS883" s="64" t="e">
        <f t="shared" si="128"/>
        <v>#N/A</v>
      </c>
    </row>
    <row r="884" spans="1:45" s="64" customFormat="1" ht="36" customHeight="1" x14ac:dyDescent="0.9">
      <c r="A884" s="64">
        <v>1</v>
      </c>
      <c r="B884" s="92">
        <f>SUBTOTAL(103,$A$548:A884)</f>
        <v>303</v>
      </c>
      <c r="C884" s="91" t="s">
        <v>41</v>
      </c>
      <c r="D884" s="126">
        <v>1974</v>
      </c>
      <c r="E884" s="126"/>
      <c r="F884" s="145" t="s">
        <v>273</v>
      </c>
      <c r="G884" s="126">
        <v>5</v>
      </c>
      <c r="H884" s="126">
        <v>6</v>
      </c>
      <c r="I884" s="117">
        <v>5979.1</v>
      </c>
      <c r="J884" s="117">
        <v>5979.1</v>
      </c>
      <c r="K884" s="117">
        <v>4563.9399999999996</v>
      </c>
      <c r="L884" s="127">
        <v>217</v>
      </c>
      <c r="M884" s="126" t="s">
        <v>271</v>
      </c>
      <c r="N884" s="126" t="s">
        <v>275</v>
      </c>
      <c r="O884" s="124" t="s">
        <v>276</v>
      </c>
      <c r="P884" s="118">
        <v>5858309.4800000004</v>
      </c>
      <c r="Q884" s="118">
        <v>0</v>
      </c>
      <c r="R884" s="118">
        <v>0</v>
      </c>
      <c r="S884" s="118">
        <f>P884-Q884-R884</f>
        <v>5858309.4800000004</v>
      </c>
      <c r="T884" s="118">
        <f t="shared" si="129"/>
        <v>979.79787593450521</v>
      </c>
      <c r="U884" s="118">
        <f>Y884</f>
        <v>1376.3872154672108</v>
      </c>
      <c r="V884" s="183">
        <f t="shared" si="124"/>
        <v>396.58933953270559</v>
      </c>
      <c r="W884" s="183"/>
      <c r="X884" s="183"/>
      <c r="Y884" s="64">
        <f t="shared" si="125"/>
        <v>1376.3872154672108</v>
      </c>
      <c r="AA884" s="64">
        <f t="shared" si="126"/>
        <v>1576</v>
      </c>
      <c r="AH884" s="64" t="e">
        <f t="shared" si="127"/>
        <v>#N/A</v>
      </c>
      <c r="AS884" s="64" t="e">
        <f t="shared" si="128"/>
        <v>#N/A</v>
      </c>
    </row>
    <row r="885" spans="1:45" s="64" customFormat="1" ht="36" customHeight="1" x14ac:dyDescent="0.9">
      <c r="B885" s="91" t="s">
        <v>901</v>
      </c>
      <c r="C885" s="91"/>
      <c r="D885" s="126" t="s">
        <v>916</v>
      </c>
      <c r="E885" s="126" t="s">
        <v>916</v>
      </c>
      <c r="F885" s="126" t="s">
        <v>916</v>
      </c>
      <c r="G885" s="126" t="s">
        <v>916</v>
      </c>
      <c r="H885" s="126" t="s">
        <v>916</v>
      </c>
      <c r="I885" s="117">
        <f>I886</f>
        <v>822.2</v>
      </c>
      <c r="J885" s="117">
        <f>J886</f>
        <v>760.8</v>
      </c>
      <c r="K885" s="117">
        <f>K886</f>
        <v>760.8</v>
      </c>
      <c r="L885" s="127">
        <f>L886</f>
        <v>34</v>
      </c>
      <c r="M885" s="126" t="s">
        <v>916</v>
      </c>
      <c r="N885" s="126" t="s">
        <v>916</v>
      </c>
      <c r="O885" s="124" t="s">
        <v>916</v>
      </c>
      <c r="P885" s="118">
        <v>3274450.4</v>
      </c>
      <c r="Q885" s="118">
        <f>Q886</f>
        <v>0</v>
      </c>
      <c r="R885" s="118">
        <f>R886</f>
        <v>0</v>
      </c>
      <c r="S885" s="118">
        <f>S886</f>
        <v>3274450.4</v>
      </c>
      <c r="T885" s="118">
        <f t="shared" si="129"/>
        <v>3982.5473120895158</v>
      </c>
      <c r="U885" s="118">
        <f>T885</f>
        <v>3982.5473120895158</v>
      </c>
      <c r="V885" s="183">
        <f t="shared" si="124"/>
        <v>0</v>
      </c>
      <c r="W885" s="183"/>
      <c r="X885" s="183"/>
      <c r="Y885" s="64" t="e">
        <f t="shared" si="125"/>
        <v>#N/A</v>
      </c>
      <c r="AA885" s="64" t="e">
        <f t="shared" si="126"/>
        <v>#N/A</v>
      </c>
      <c r="AH885" s="64" t="e">
        <f t="shared" si="127"/>
        <v>#N/A</v>
      </c>
      <c r="AS885" s="64" t="e">
        <f t="shared" si="128"/>
        <v>#N/A</v>
      </c>
    </row>
    <row r="886" spans="1:45" s="64" customFormat="1" ht="36" customHeight="1" x14ac:dyDescent="0.9">
      <c r="A886" s="64">
        <v>1</v>
      </c>
      <c r="B886" s="92">
        <f>SUBTOTAL(103,$A$548:A886)</f>
        <v>304</v>
      </c>
      <c r="C886" s="91" t="s">
        <v>55</v>
      </c>
      <c r="D886" s="126">
        <v>1968</v>
      </c>
      <c r="E886" s="126"/>
      <c r="F886" s="145" t="s">
        <v>273</v>
      </c>
      <c r="G886" s="126">
        <v>2</v>
      </c>
      <c r="H886" s="126">
        <v>2</v>
      </c>
      <c r="I886" s="117">
        <v>822.2</v>
      </c>
      <c r="J886" s="117">
        <v>760.8</v>
      </c>
      <c r="K886" s="117">
        <v>760.8</v>
      </c>
      <c r="L886" s="127">
        <v>34</v>
      </c>
      <c r="M886" s="126" t="s">
        <v>271</v>
      </c>
      <c r="N886" s="126" t="s">
        <v>275</v>
      </c>
      <c r="O886" s="124" t="s">
        <v>280</v>
      </c>
      <c r="P886" s="118">
        <v>3274450.4</v>
      </c>
      <c r="Q886" s="118">
        <v>0</v>
      </c>
      <c r="R886" s="118">
        <v>0</v>
      </c>
      <c r="S886" s="118">
        <f>P886-Q886-R886</f>
        <v>3274450.4</v>
      </c>
      <c r="T886" s="118">
        <f t="shared" si="129"/>
        <v>3982.5473120895158</v>
      </c>
      <c r="U886" s="118">
        <f>T886</f>
        <v>3982.5473120895158</v>
      </c>
      <c r="V886" s="183">
        <f t="shared" si="124"/>
        <v>0</v>
      </c>
      <c r="W886" s="183"/>
      <c r="X886" s="183"/>
      <c r="Y886" s="64">
        <f t="shared" si="125"/>
        <v>3872.8455850158107</v>
      </c>
      <c r="AA886" s="64">
        <f t="shared" si="126"/>
        <v>609.79999999999995</v>
      </c>
      <c r="AH886" s="64" t="e">
        <f t="shared" si="127"/>
        <v>#N/A</v>
      </c>
      <c r="AS886" s="64" t="e">
        <f t="shared" si="128"/>
        <v>#N/A</v>
      </c>
    </row>
    <row r="887" spans="1:45" s="64" customFormat="1" ht="36" customHeight="1" x14ac:dyDescent="0.9">
      <c r="B887" s="91" t="s">
        <v>868</v>
      </c>
      <c r="C887" s="91"/>
      <c r="D887" s="126" t="s">
        <v>916</v>
      </c>
      <c r="E887" s="126" t="s">
        <v>916</v>
      </c>
      <c r="F887" s="126" t="s">
        <v>916</v>
      </c>
      <c r="G887" s="126" t="s">
        <v>916</v>
      </c>
      <c r="H887" s="126" t="s">
        <v>916</v>
      </c>
      <c r="I887" s="117">
        <f>I888+I889+I890</f>
        <v>5924.49</v>
      </c>
      <c r="J887" s="117">
        <f>J888+J889+J890</f>
        <v>4359.9000000000005</v>
      </c>
      <c r="K887" s="117">
        <f>K888+K889+K890</f>
        <v>4223.91</v>
      </c>
      <c r="L887" s="127">
        <f>L888+L889+L890</f>
        <v>259</v>
      </c>
      <c r="M887" s="126" t="s">
        <v>916</v>
      </c>
      <c r="N887" s="126" t="s">
        <v>916</v>
      </c>
      <c r="O887" s="124" t="s">
        <v>916</v>
      </c>
      <c r="P887" s="118">
        <v>12199052.439999999</v>
      </c>
      <c r="Q887" s="118">
        <f>SUM(Q888:Q890)</f>
        <v>0</v>
      </c>
      <c r="R887" s="118">
        <f>SUM(R888:R890)</f>
        <v>0</v>
      </c>
      <c r="S887" s="118">
        <f>SUM(S888:S890)</f>
        <v>12199052.439999999</v>
      </c>
      <c r="T887" s="118">
        <f t="shared" si="129"/>
        <v>2059.0890422635534</v>
      </c>
      <c r="U887" s="118">
        <f>MAX(U888:U890)</f>
        <v>5545.796875</v>
      </c>
      <c r="V887" s="183">
        <f t="shared" si="124"/>
        <v>3486.7078327364466</v>
      </c>
      <c r="W887" s="183"/>
      <c r="X887" s="183"/>
      <c r="Y887" s="64" t="e">
        <f t="shared" si="125"/>
        <v>#N/A</v>
      </c>
      <c r="AA887" s="64" t="e">
        <f t="shared" si="126"/>
        <v>#N/A</v>
      </c>
      <c r="AH887" s="64" t="e">
        <f t="shared" si="127"/>
        <v>#N/A</v>
      </c>
      <c r="AS887" s="64" t="e">
        <f t="shared" si="128"/>
        <v>#N/A</v>
      </c>
    </row>
    <row r="888" spans="1:45" s="64" customFormat="1" ht="36" customHeight="1" x14ac:dyDescent="0.9">
      <c r="A888" s="64">
        <v>1</v>
      </c>
      <c r="B888" s="92">
        <f>SUBTOTAL(103,$A$548:A888)</f>
        <v>305</v>
      </c>
      <c r="C888" s="91" t="s">
        <v>56</v>
      </c>
      <c r="D888" s="126">
        <v>1972</v>
      </c>
      <c r="E888" s="126"/>
      <c r="F888" s="145" t="s">
        <v>273</v>
      </c>
      <c r="G888" s="126">
        <v>5</v>
      </c>
      <c r="H888" s="126">
        <v>8</v>
      </c>
      <c r="I888" s="117">
        <v>4571.29</v>
      </c>
      <c r="J888" s="117">
        <v>3066.4</v>
      </c>
      <c r="K888" s="117">
        <v>2975.61</v>
      </c>
      <c r="L888" s="127">
        <v>203</v>
      </c>
      <c r="M888" s="126" t="s">
        <v>271</v>
      </c>
      <c r="N888" s="126" t="s">
        <v>275</v>
      </c>
      <c r="O888" s="124" t="s">
        <v>277</v>
      </c>
      <c r="P888" s="118">
        <v>4719977.0600000005</v>
      </c>
      <c r="Q888" s="118">
        <v>0</v>
      </c>
      <c r="R888" s="118">
        <v>0</v>
      </c>
      <c r="S888" s="118">
        <f>P888-Q888-R888</f>
        <v>4719977.0600000005</v>
      </c>
      <c r="T888" s="118">
        <f t="shared" si="129"/>
        <v>1032.5262803278727</v>
      </c>
      <c r="U888" s="118">
        <v>2928.86</v>
      </c>
      <c r="V888" s="183">
        <f t="shared" si="124"/>
        <v>1896.3337196721275</v>
      </c>
      <c r="W888" s="183"/>
      <c r="X888" s="183"/>
      <c r="Y888" s="64" t="e">
        <f t="shared" si="125"/>
        <v>#N/A</v>
      </c>
      <c r="AA888" s="64" t="e">
        <f t="shared" si="126"/>
        <v>#N/A</v>
      </c>
      <c r="AH888" s="64" t="e">
        <f t="shared" si="127"/>
        <v>#N/A</v>
      </c>
      <c r="AS888" s="64" t="e">
        <f t="shared" si="128"/>
        <v>#N/A</v>
      </c>
    </row>
    <row r="889" spans="1:45" s="64" customFormat="1" ht="36" customHeight="1" x14ac:dyDescent="0.9">
      <c r="A889" s="64">
        <v>1</v>
      </c>
      <c r="B889" s="92">
        <f>SUBTOTAL(103,$A$548:A889)</f>
        <v>306</v>
      </c>
      <c r="C889" s="91" t="s">
        <v>46</v>
      </c>
      <c r="D889" s="126">
        <v>1972</v>
      </c>
      <c r="E889" s="126"/>
      <c r="F889" s="145" t="s">
        <v>273</v>
      </c>
      <c r="G889" s="126">
        <v>2</v>
      </c>
      <c r="H889" s="126">
        <v>2</v>
      </c>
      <c r="I889" s="117">
        <v>716.4</v>
      </c>
      <c r="J889" s="117">
        <v>656.7</v>
      </c>
      <c r="K889" s="117">
        <v>656.7</v>
      </c>
      <c r="L889" s="127">
        <v>29</v>
      </c>
      <c r="M889" s="126" t="s">
        <v>271</v>
      </c>
      <c r="N889" s="126" t="s">
        <v>275</v>
      </c>
      <c r="O889" s="124" t="s">
        <v>277</v>
      </c>
      <c r="P889" s="118">
        <v>3947511.93</v>
      </c>
      <c r="Q889" s="118">
        <v>0</v>
      </c>
      <c r="R889" s="118">
        <v>0</v>
      </c>
      <c r="S889" s="118">
        <f>P889-Q889-R889</f>
        <v>3947511.93</v>
      </c>
      <c r="T889" s="118">
        <f t="shared" si="129"/>
        <v>5510.20649078727</v>
      </c>
      <c r="U889" s="118">
        <f>T889</f>
        <v>5510.20649078727</v>
      </c>
      <c r="V889" s="183">
        <f t="shared" si="124"/>
        <v>0</v>
      </c>
      <c r="W889" s="183"/>
      <c r="X889" s="183"/>
      <c r="Y889" s="64">
        <f t="shared" si="125"/>
        <v>5223.9866834170862</v>
      </c>
      <c r="AA889" s="64">
        <f t="shared" si="126"/>
        <v>716.7</v>
      </c>
      <c r="AH889" s="64" t="e">
        <f t="shared" si="127"/>
        <v>#N/A</v>
      </c>
      <c r="AS889" s="64" t="e">
        <f t="shared" si="128"/>
        <v>#N/A</v>
      </c>
    </row>
    <row r="890" spans="1:45" s="64" customFormat="1" ht="36" customHeight="1" x14ac:dyDescent="0.9">
      <c r="A890" s="64">
        <v>1</v>
      </c>
      <c r="B890" s="92">
        <f>SUBTOTAL(103,$A$548:A890)</f>
        <v>307</v>
      </c>
      <c r="C890" s="91" t="s">
        <v>1650</v>
      </c>
      <c r="D890" s="126">
        <v>1963</v>
      </c>
      <c r="E890" s="126"/>
      <c r="F890" s="145" t="s">
        <v>273</v>
      </c>
      <c r="G890" s="126">
        <v>2</v>
      </c>
      <c r="H890" s="126">
        <v>2</v>
      </c>
      <c r="I890" s="118">
        <v>636.79999999999995</v>
      </c>
      <c r="J890" s="118">
        <v>636.79999999999995</v>
      </c>
      <c r="K890" s="118">
        <f>636.8-45.2</f>
        <v>591.59999999999991</v>
      </c>
      <c r="L890" s="127">
        <v>27</v>
      </c>
      <c r="M890" s="126" t="s">
        <v>271</v>
      </c>
      <c r="N890" s="126" t="s">
        <v>272</v>
      </c>
      <c r="O890" s="124" t="s">
        <v>274</v>
      </c>
      <c r="P890" s="118">
        <v>3531563.4499999997</v>
      </c>
      <c r="Q890" s="118">
        <v>0</v>
      </c>
      <c r="R890" s="118">
        <v>0</v>
      </c>
      <c r="S890" s="118">
        <f>P890-Q890-R890</f>
        <v>3531563.4499999997</v>
      </c>
      <c r="T890" s="118">
        <f>P890/I890</f>
        <v>5545.796875</v>
      </c>
      <c r="U890" s="118">
        <f>T890</f>
        <v>5545.796875</v>
      </c>
      <c r="V890" s="183">
        <f t="shared" si="124"/>
        <v>0</v>
      </c>
      <c r="W890" s="183"/>
      <c r="X890" s="183"/>
      <c r="Y890" s="64">
        <f t="shared" si="125"/>
        <v>5017.6184359296485</v>
      </c>
      <c r="AA890" s="64">
        <f t="shared" si="126"/>
        <v>611.9</v>
      </c>
      <c r="AH890" s="64" t="e">
        <f t="shared" si="127"/>
        <v>#N/A</v>
      </c>
      <c r="AS890" s="64" t="e">
        <f t="shared" si="128"/>
        <v>#N/A</v>
      </c>
    </row>
    <row r="891" spans="1:45" s="64" customFormat="1" ht="36" customHeight="1" x14ac:dyDescent="0.9">
      <c r="B891" s="91" t="s">
        <v>869</v>
      </c>
      <c r="C891" s="91"/>
      <c r="D891" s="126" t="s">
        <v>916</v>
      </c>
      <c r="E891" s="126" t="s">
        <v>916</v>
      </c>
      <c r="F891" s="126" t="s">
        <v>916</v>
      </c>
      <c r="G891" s="126" t="s">
        <v>916</v>
      </c>
      <c r="H891" s="126" t="s">
        <v>916</v>
      </c>
      <c r="I891" s="117">
        <f>I892</f>
        <v>5889.36</v>
      </c>
      <c r="J891" s="117">
        <f>J892</f>
        <v>4270.6000000000004</v>
      </c>
      <c r="K891" s="117">
        <f>K892</f>
        <v>4123.1000000000004</v>
      </c>
      <c r="L891" s="127">
        <f>L892</f>
        <v>172</v>
      </c>
      <c r="M891" s="126" t="s">
        <v>916</v>
      </c>
      <c r="N891" s="126" t="s">
        <v>916</v>
      </c>
      <c r="O891" s="124" t="s">
        <v>916</v>
      </c>
      <c r="P891" s="118">
        <v>7408727.5099999998</v>
      </c>
      <c r="Q891" s="118">
        <f>Q892</f>
        <v>0</v>
      </c>
      <c r="R891" s="118">
        <f>R892</f>
        <v>0</v>
      </c>
      <c r="S891" s="118">
        <f>S892</f>
        <v>7408727.5099999998</v>
      </c>
      <c r="T891" s="118">
        <f t="shared" si="129"/>
        <v>1257.9851647717239</v>
      </c>
      <c r="U891" s="118">
        <f>U892</f>
        <v>1479.9958841028567</v>
      </c>
      <c r="V891" s="183">
        <f t="shared" si="124"/>
        <v>222.0107193311328</v>
      </c>
      <c r="W891" s="183"/>
      <c r="X891" s="183"/>
      <c r="Y891" s="64" t="e">
        <f t="shared" si="125"/>
        <v>#N/A</v>
      </c>
      <c r="AA891" s="64" t="e">
        <f t="shared" si="126"/>
        <v>#N/A</v>
      </c>
      <c r="AH891" s="64" t="e">
        <f t="shared" si="127"/>
        <v>#N/A</v>
      </c>
      <c r="AS891" s="64" t="e">
        <f t="shared" si="128"/>
        <v>#N/A</v>
      </c>
    </row>
    <row r="892" spans="1:45" s="64" customFormat="1" ht="36" customHeight="1" x14ac:dyDescent="0.9">
      <c r="A892" s="64">
        <v>1</v>
      </c>
      <c r="B892" s="92">
        <f>SUBTOTAL(103,$A$548:A892)</f>
        <v>308</v>
      </c>
      <c r="C892" s="91" t="s">
        <v>54</v>
      </c>
      <c r="D892" s="126">
        <v>1989</v>
      </c>
      <c r="E892" s="126"/>
      <c r="F892" s="145" t="s">
        <v>273</v>
      </c>
      <c r="G892" s="126">
        <v>5</v>
      </c>
      <c r="H892" s="126">
        <v>6</v>
      </c>
      <c r="I892" s="117">
        <v>5889.36</v>
      </c>
      <c r="J892" s="117">
        <v>4270.6000000000004</v>
      </c>
      <c r="K892" s="117">
        <v>4123.1000000000004</v>
      </c>
      <c r="L892" s="127">
        <v>172</v>
      </c>
      <c r="M892" s="126" t="s">
        <v>271</v>
      </c>
      <c r="N892" s="126" t="s">
        <v>275</v>
      </c>
      <c r="O892" s="124" t="s">
        <v>278</v>
      </c>
      <c r="P892" s="118">
        <v>7408727.5099999998</v>
      </c>
      <c r="Q892" s="118">
        <v>0</v>
      </c>
      <c r="R892" s="118">
        <v>0</v>
      </c>
      <c r="S892" s="118">
        <f>P892-Q892-R892</f>
        <v>7408727.5099999998</v>
      </c>
      <c r="T892" s="118">
        <f t="shared" si="129"/>
        <v>1257.9851647717239</v>
      </c>
      <c r="U892" s="118">
        <f>Y892</f>
        <v>1479.9958841028567</v>
      </c>
      <c r="V892" s="183">
        <f t="shared" si="124"/>
        <v>222.0107193311328</v>
      </c>
      <c r="W892" s="183"/>
      <c r="X892" s="183"/>
      <c r="Y892" s="64">
        <f t="shared" si="125"/>
        <v>1479.9958841028567</v>
      </c>
      <c r="AA892" s="64">
        <f t="shared" si="126"/>
        <v>1669.2</v>
      </c>
      <c r="AH892" s="64" t="e">
        <f t="shared" si="127"/>
        <v>#N/A</v>
      </c>
      <c r="AS892" s="64" t="e">
        <f t="shared" si="128"/>
        <v>#N/A</v>
      </c>
    </row>
    <row r="893" spans="1:45" s="64" customFormat="1" ht="36" customHeight="1" x14ac:dyDescent="0.9">
      <c r="B893" s="91" t="s">
        <v>870</v>
      </c>
      <c r="C893" s="91"/>
      <c r="D893" s="126" t="s">
        <v>916</v>
      </c>
      <c r="E893" s="126" t="s">
        <v>916</v>
      </c>
      <c r="F893" s="126" t="s">
        <v>916</v>
      </c>
      <c r="G893" s="126" t="s">
        <v>916</v>
      </c>
      <c r="H893" s="126" t="s">
        <v>916</v>
      </c>
      <c r="I893" s="117">
        <f>I894</f>
        <v>485.3</v>
      </c>
      <c r="J893" s="117">
        <f>J894</f>
        <v>441.3</v>
      </c>
      <c r="K893" s="117">
        <f>K894</f>
        <v>441.3</v>
      </c>
      <c r="L893" s="127">
        <f>L894</f>
        <v>24</v>
      </c>
      <c r="M893" s="126" t="s">
        <v>916</v>
      </c>
      <c r="N893" s="126" t="s">
        <v>916</v>
      </c>
      <c r="O893" s="124" t="s">
        <v>916</v>
      </c>
      <c r="P893" s="118">
        <v>2311215.4500000002</v>
      </c>
      <c r="Q893" s="118">
        <f>Q894</f>
        <v>0</v>
      </c>
      <c r="R893" s="118">
        <f>R894</f>
        <v>0</v>
      </c>
      <c r="S893" s="118">
        <f>S894</f>
        <v>2311215.4500000002</v>
      </c>
      <c r="T893" s="118">
        <f t="shared" si="129"/>
        <v>4762.4468370080367</v>
      </c>
      <c r="U893" s="118">
        <f>U894</f>
        <v>4777.4143828559654</v>
      </c>
      <c r="V893" s="183">
        <f t="shared" si="124"/>
        <v>14.967545847928704</v>
      </c>
      <c r="W893" s="183"/>
      <c r="X893" s="183"/>
      <c r="Y893" s="64" t="e">
        <f t="shared" si="125"/>
        <v>#N/A</v>
      </c>
      <c r="AA893" s="64" t="e">
        <f t="shared" si="126"/>
        <v>#N/A</v>
      </c>
      <c r="AH893" s="64" t="e">
        <f t="shared" si="127"/>
        <v>#N/A</v>
      </c>
      <c r="AS893" s="64" t="e">
        <f t="shared" si="128"/>
        <v>#N/A</v>
      </c>
    </row>
    <row r="894" spans="1:45" s="64" customFormat="1" ht="36" customHeight="1" x14ac:dyDescent="0.9">
      <c r="A894" s="64">
        <v>1</v>
      </c>
      <c r="B894" s="92">
        <f>SUBTOTAL(103,$A$548:A894)</f>
        <v>309</v>
      </c>
      <c r="C894" s="91" t="s">
        <v>53</v>
      </c>
      <c r="D894" s="126">
        <v>1952</v>
      </c>
      <c r="E894" s="126"/>
      <c r="F894" s="145" t="s">
        <v>273</v>
      </c>
      <c r="G894" s="126">
        <v>2</v>
      </c>
      <c r="H894" s="126">
        <v>2</v>
      </c>
      <c r="I894" s="117">
        <v>485.3</v>
      </c>
      <c r="J894" s="117">
        <v>441.3</v>
      </c>
      <c r="K894" s="117">
        <v>441.3</v>
      </c>
      <c r="L894" s="127">
        <v>24</v>
      </c>
      <c r="M894" s="126" t="s">
        <v>271</v>
      </c>
      <c r="N894" s="126" t="s">
        <v>275</v>
      </c>
      <c r="O894" s="124" t="s">
        <v>279</v>
      </c>
      <c r="P894" s="118">
        <v>2311215.4500000002</v>
      </c>
      <c r="Q894" s="118">
        <v>0</v>
      </c>
      <c r="R894" s="118">
        <v>0</v>
      </c>
      <c r="S894" s="118">
        <f>P894-Q894-R894</f>
        <v>2311215.4500000002</v>
      </c>
      <c r="T894" s="118">
        <f t="shared" si="129"/>
        <v>4762.4468370080367</v>
      </c>
      <c r="U894" s="118">
        <f>Y894</f>
        <v>4777.4143828559654</v>
      </c>
      <c r="V894" s="183">
        <f t="shared" si="124"/>
        <v>14.967545847928704</v>
      </c>
      <c r="W894" s="183"/>
      <c r="X894" s="183"/>
      <c r="Y894" s="64">
        <f t="shared" si="125"/>
        <v>4777.4143828559654</v>
      </c>
      <c r="AA894" s="64">
        <f t="shared" si="126"/>
        <v>444</v>
      </c>
      <c r="AH894" s="64" t="e">
        <f t="shared" si="127"/>
        <v>#N/A</v>
      </c>
      <c r="AS894" s="64" t="e">
        <f t="shared" si="128"/>
        <v>#N/A</v>
      </c>
    </row>
    <row r="895" spans="1:45" s="64" customFormat="1" ht="36" customHeight="1" x14ac:dyDescent="0.9">
      <c r="B895" s="91" t="s">
        <v>871</v>
      </c>
      <c r="C895" s="91"/>
      <c r="D895" s="126" t="s">
        <v>916</v>
      </c>
      <c r="E895" s="126" t="s">
        <v>916</v>
      </c>
      <c r="F895" s="126" t="s">
        <v>916</v>
      </c>
      <c r="G895" s="126" t="s">
        <v>916</v>
      </c>
      <c r="H895" s="126" t="s">
        <v>916</v>
      </c>
      <c r="I895" s="117">
        <f>SUM(I896:I900)</f>
        <v>4891.9000000000005</v>
      </c>
      <c r="J895" s="117">
        <f>SUM(J896:J900)</f>
        <v>4511.3200000000006</v>
      </c>
      <c r="K895" s="117">
        <f>SUM(K896:K900)</f>
        <v>4393.6699999999992</v>
      </c>
      <c r="L895" s="127">
        <f>SUM(L896:L900)</f>
        <v>172</v>
      </c>
      <c r="M895" s="126" t="s">
        <v>916</v>
      </c>
      <c r="N895" s="126" t="s">
        <v>916</v>
      </c>
      <c r="O895" s="124" t="s">
        <v>916</v>
      </c>
      <c r="P895" s="118">
        <v>16487311.32</v>
      </c>
      <c r="Q895" s="118">
        <f>Q896+Q897+Q898+Q899+Q900</f>
        <v>0</v>
      </c>
      <c r="R895" s="118">
        <f>R896+R897+R898+R899+R900</f>
        <v>0</v>
      </c>
      <c r="S895" s="118">
        <f>S896+S897+S898+S899+S900</f>
        <v>16487311.32</v>
      </c>
      <c r="T895" s="118">
        <f t="shared" si="129"/>
        <v>3370.3287720517587</v>
      </c>
      <c r="U895" s="118">
        <f>MAX(U896:U900)</f>
        <v>5839.3561504574718</v>
      </c>
      <c r="V895" s="183">
        <f t="shared" si="124"/>
        <v>2469.0273784057131</v>
      </c>
      <c r="W895" s="183"/>
      <c r="X895" s="183"/>
      <c r="Y895" s="64" t="e">
        <f t="shared" si="125"/>
        <v>#N/A</v>
      </c>
      <c r="AA895" s="64" t="e">
        <f t="shared" si="126"/>
        <v>#N/A</v>
      </c>
      <c r="AH895" s="64" t="e">
        <f t="shared" si="127"/>
        <v>#N/A</v>
      </c>
      <c r="AS895" s="64" t="e">
        <f t="shared" si="128"/>
        <v>#N/A</v>
      </c>
    </row>
    <row r="896" spans="1:45" s="64" customFormat="1" ht="36" customHeight="1" x14ac:dyDescent="0.9">
      <c r="A896" s="64">
        <v>1</v>
      </c>
      <c r="B896" s="92">
        <f>SUBTOTAL(103,$A$548:A896)</f>
        <v>310</v>
      </c>
      <c r="C896" s="91" t="s">
        <v>60</v>
      </c>
      <c r="D896" s="126">
        <v>1970</v>
      </c>
      <c r="E896" s="126"/>
      <c r="F896" s="145" t="s">
        <v>273</v>
      </c>
      <c r="G896" s="126">
        <v>5</v>
      </c>
      <c r="H896" s="126">
        <v>2</v>
      </c>
      <c r="I896" s="117">
        <v>2323.8000000000002</v>
      </c>
      <c r="J896" s="117">
        <v>2172.1400000000003</v>
      </c>
      <c r="K896" s="117">
        <v>2094.89</v>
      </c>
      <c r="L896" s="127">
        <v>51</v>
      </c>
      <c r="M896" s="126" t="s">
        <v>271</v>
      </c>
      <c r="N896" s="126" t="s">
        <v>275</v>
      </c>
      <c r="O896" s="124" t="s">
        <v>281</v>
      </c>
      <c r="P896" s="118">
        <v>3462053.4</v>
      </c>
      <c r="Q896" s="118">
        <v>0</v>
      </c>
      <c r="R896" s="118">
        <v>0</v>
      </c>
      <c r="S896" s="118">
        <f>P896-Q896-R896</f>
        <v>3462053.4</v>
      </c>
      <c r="T896" s="118">
        <f t="shared" si="129"/>
        <v>1489.8241673121609</v>
      </c>
      <c r="U896" s="118">
        <f>Y896</f>
        <v>1489.8241673121609</v>
      </c>
      <c r="V896" s="183">
        <f t="shared" si="124"/>
        <v>0</v>
      </c>
      <c r="W896" s="183"/>
      <c r="X896" s="183"/>
      <c r="Y896" s="64">
        <f t="shared" si="125"/>
        <v>1489.8241673121609</v>
      </c>
      <c r="AA896" s="64">
        <f t="shared" si="126"/>
        <v>663</v>
      </c>
      <c r="AH896" s="64" t="e">
        <f t="shared" si="127"/>
        <v>#N/A</v>
      </c>
      <c r="AS896" s="64" t="e">
        <f t="shared" si="128"/>
        <v>#N/A</v>
      </c>
    </row>
    <row r="897" spans="1:45" s="64" customFormat="1" ht="36" customHeight="1" x14ac:dyDescent="0.9">
      <c r="A897" s="64">
        <v>1</v>
      </c>
      <c r="B897" s="92">
        <f>SUBTOTAL(103,$A$548:A897)</f>
        <v>311</v>
      </c>
      <c r="C897" s="91" t="s">
        <v>61</v>
      </c>
      <c r="D897" s="126">
        <v>1972</v>
      </c>
      <c r="E897" s="126"/>
      <c r="F897" s="145" t="s">
        <v>273</v>
      </c>
      <c r="G897" s="126">
        <v>2</v>
      </c>
      <c r="H897" s="126">
        <v>2</v>
      </c>
      <c r="I897" s="117">
        <v>590.20000000000005</v>
      </c>
      <c r="J897" s="117">
        <v>529.80000000000007</v>
      </c>
      <c r="K897" s="117">
        <v>529.79999999999995</v>
      </c>
      <c r="L897" s="127">
        <v>31</v>
      </c>
      <c r="M897" s="126" t="s">
        <v>271</v>
      </c>
      <c r="N897" s="126" t="s">
        <v>272</v>
      </c>
      <c r="O897" s="124" t="s">
        <v>274</v>
      </c>
      <c r="P897" s="118">
        <v>3446388</v>
      </c>
      <c r="Q897" s="118">
        <v>0</v>
      </c>
      <c r="R897" s="118">
        <v>0</v>
      </c>
      <c r="S897" s="118">
        <f>P897-Q897-R897</f>
        <v>3446388</v>
      </c>
      <c r="T897" s="118">
        <f t="shared" si="129"/>
        <v>5839.3561504574718</v>
      </c>
      <c r="U897" s="118">
        <f>Y897</f>
        <v>5839.3561504574718</v>
      </c>
      <c r="V897" s="183">
        <f t="shared" si="124"/>
        <v>0</v>
      </c>
      <c r="W897" s="183"/>
      <c r="X897" s="183"/>
      <c r="Y897" s="64">
        <f t="shared" si="125"/>
        <v>5839.3561504574718</v>
      </c>
      <c r="AA897" s="64">
        <f t="shared" si="126"/>
        <v>660</v>
      </c>
      <c r="AH897" s="64" t="e">
        <f t="shared" si="127"/>
        <v>#N/A</v>
      </c>
      <c r="AS897" s="64" t="e">
        <f t="shared" si="128"/>
        <v>#N/A</v>
      </c>
    </row>
    <row r="898" spans="1:45" s="64" customFormat="1" ht="36" customHeight="1" x14ac:dyDescent="0.9">
      <c r="A898" s="64">
        <v>1</v>
      </c>
      <c r="B898" s="92">
        <f>SUBTOTAL(103,$A$548:A898)</f>
        <v>312</v>
      </c>
      <c r="C898" s="91" t="s">
        <v>59</v>
      </c>
      <c r="D898" s="126">
        <v>1974</v>
      </c>
      <c r="E898" s="126"/>
      <c r="F898" s="145" t="s">
        <v>273</v>
      </c>
      <c r="G898" s="126">
        <v>2</v>
      </c>
      <c r="H898" s="126">
        <v>2</v>
      </c>
      <c r="I898" s="117">
        <v>701.7</v>
      </c>
      <c r="J898" s="117">
        <v>641.1</v>
      </c>
      <c r="K898" s="117">
        <v>600.70000000000005</v>
      </c>
      <c r="L898" s="127">
        <v>36</v>
      </c>
      <c r="M898" s="126" t="s">
        <v>271</v>
      </c>
      <c r="N898" s="126" t="s">
        <v>272</v>
      </c>
      <c r="O898" s="124" t="s">
        <v>274</v>
      </c>
      <c r="P898" s="118">
        <v>3378504.6</v>
      </c>
      <c r="Q898" s="118">
        <v>0</v>
      </c>
      <c r="R898" s="118">
        <v>0</v>
      </c>
      <c r="S898" s="118">
        <f>P898-Q898-R898</f>
        <v>3378504.6</v>
      </c>
      <c r="T898" s="118">
        <f t="shared" si="129"/>
        <v>4814.7421975203079</v>
      </c>
      <c r="U898" s="118">
        <f>Y898</f>
        <v>4814.7421975203079</v>
      </c>
      <c r="V898" s="183">
        <f t="shared" si="124"/>
        <v>0</v>
      </c>
      <c r="W898" s="183"/>
      <c r="X898" s="183"/>
      <c r="Y898" s="64">
        <f t="shared" si="125"/>
        <v>4814.7421975203079</v>
      </c>
      <c r="AA898" s="64">
        <f t="shared" si="126"/>
        <v>647</v>
      </c>
      <c r="AH898" s="64" t="e">
        <f t="shared" si="127"/>
        <v>#N/A</v>
      </c>
      <c r="AS898" s="64" t="e">
        <f t="shared" si="128"/>
        <v>#N/A</v>
      </c>
    </row>
    <row r="899" spans="1:45" s="64" customFormat="1" ht="36" customHeight="1" x14ac:dyDescent="0.9">
      <c r="A899" s="64">
        <v>1</v>
      </c>
      <c r="B899" s="92">
        <f>SUBTOTAL(103,$A$548:A899)</f>
        <v>313</v>
      </c>
      <c r="C899" s="91" t="s">
        <v>62</v>
      </c>
      <c r="D899" s="126">
        <v>1982</v>
      </c>
      <c r="E899" s="126"/>
      <c r="F899" s="145" t="s">
        <v>273</v>
      </c>
      <c r="G899" s="126">
        <v>2</v>
      </c>
      <c r="H899" s="126">
        <v>2</v>
      </c>
      <c r="I899" s="117">
        <v>549.6</v>
      </c>
      <c r="J899" s="117">
        <v>502.6</v>
      </c>
      <c r="K899" s="117">
        <v>502.6</v>
      </c>
      <c r="L899" s="127">
        <v>25</v>
      </c>
      <c r="M899" s="126" t="s">
        <v>271</v>
      </c>
      <c r="N899" s="126" t="s">
        <v>272</v>
      </c>
      <c r="O899" s="124" t="s">
        <v>274</v>
      </c>
      <c r="P899" s="118">
        <v>2799929.1599999997</v>
      </c>
      <c r="Q899" s="118">
        <v>0</v>
      </c>
      <c r="R899" s="118">
        <v>0</v>
      </c>
      <c r="S899" s="118">
        <f>P899-Q899-R899</f>
        <v>2799929.1599999997</v>
      </c>
      <c r="T899" s="118">
        <f t="shared" si="129"/>
        <v>5094.4853711790383</v>
      </c>
      <c r="U899" s="118">
        <f>Y899</f>
        <v>5094.4853711790392</v>
      </c>
      <c r="V899" s="183">
        <f t="shared" si="124"/>
        <v>0</v>
      </c>
      <c r="W899" s="183"/>
      <c r="X899" s="183"/>
      <c r="Y899" s="64">
        <f t="shared" si="125"/>
        <v>5094.4853711790392</v>
      </c>
      <c r="AA899" s="64">
        <f t="shared" si="126"/>
        <v>536.20000000000005</v>
      </c>
      <c r="AH899" s="64" t="e">
        <f t="shared" si="127"/>
        <v>#N/A</v>
      </c>
      <c r="AS899" s="64" t="e">
        <f t="shared" si="128"/>
        <v>#N/A</v>
      </c>
    </row>
    <row r="900" spans="1:45" s="64" customFormat="1" ht="36" customHeight="1" x14ac:dyDescent="0.9">
      <c r="A900" s="64">
        <v>1</v>
      </c>
      <c r="B900" s="92">
        <f>SUBTOTAL(103,$A$548:A900)</f>
        <v>314</v>
      </c>
      <c r="C900" s="91" t="s">
        <v>58</v>
      </c>
      <c r="D900" s="126">
        <v>1970</v>
      </c>
      <c r="E900" s="126"/>
      <c r="F900" s="145" t="s">
        <v>273</v>
      </c>
      <c r="G900" s="126">
        <v>2</v>
      </c>
      <c r="H900" s="126">
        <v>2</v>
      </c>
      <c r="I900" s="117">
        <v>726.6</v>
      </c>
      <c r="J900" s="117">
        <v>665.68000000000006</v>
      </c>
      <c r="K900" s="117">
        <v>665.68</v>
      </c>
      <c r="L900" s="127">
        <v>29</v>
      </c>
      <c r="M900" s="126" t="s">
        <v>271</v>
      </c>
      <c r="N900" s="126" t="s">
        <v>272</v>
      </c>
      <c r="O900" s="124" t="s">
        <v>274</v>
      </c>
      <c r="P900" s="118">
        <v>3400436.16</v>
      </c>
      <c r="Q900" s="118">
        <v>0</v>
      </c>
      <c r="R900" s="118">
        <v>0</v>
      </c>
      <c r="S900" s="118">
        <f>P900-Q900-R900</f>
        <v>3400436.16</v>
      </c>
      <c r="T900" s="118">
        <f t="shared" si="129"/>
        <v>4679.9286540049543</v>
      </c>
      <c r="U900" s="118">
        <f>Y900</f>
        <v>4679.9286540049543</v>
      </c>
      <c r="V900" s="183">
        <f t="shared" si="124"/>
        <v>0</v>
      </c>
      <c r="W900" s="183"/>
      <c r="X900" s="183"/>
      <c r="Y900" s="64">
        <f t="shared" si="125"/>
        <v>4679.9286540049543</v>
      </c>
      <c r="AA900" s="64">
        <f t="shared" si="126"/>
        <v>651.20000000000005</v>
      </c>
      <c r="AH900" s="64" t="e">
        <f t="shared" si="127"/>
        <v>#N/A</v>
      </c>
      <c r="AS900" s="64" t="e">
        <f t="shared" si="128"/>
        <v>#N/A</v>
      </c>
    </row>
    <row r="901" spans="1:45" s="64" customFormat="1" ht="36" customHeight="1" x14ac:dyDescent="0.9">
      <c r="B901" s="91" t="s">
        <v>872</v>
      </c>
      <c r="C901" s="172"/>
      <c r="D901" s="126" t="s">
        <v>916</v>
      </c>
      <c r="E901" s="126" t="s">
        <v>916</v>
      </c>
      <c r="F901" s="126" t="s">
        <v>916</v>
      </c>
      <c r="G901" s="126" t="s">
        <v>916</v>
      </c>
      <c r="H901" s="126" t="s">
        <v>916</v>
      </c>
      <c r="I901" s="117">
        <f>I902+I903</f>
        <v>4053.7</v>
      </c>
      <c r="J901" s="117">
        <f>J902+J903</f>
        <v>3133.3999999999996</v>
      </c>
      <c r="K901" s="117">
        <f>K902+K903</f>
        <v>3133.3999999999996</v>
      </c>
      <c r="L901" s="127">
        <f>L902+L903</f>
        <v>118</v>
      </c>
      <c r="M901" s="126" t="s">
        <v>916</v>
      </c>
      <c r="N901" s="126" t="s">
        <v>916</v>
      </c>
      <c r="O901" s="124" t="s">
        <v>916</v>
      </c>
      <c r="P901" s="118">
        <v>6032850.6600000001</v>
      </c>
      <c r="Q901" s="118">
        <f>Q902+Q903</f>
        <v>0</v>
      </c>
      <c r="R901" s="118">
        <f>R902+R903</f>
        <v>0</v>
      </c>
      <c r="S901" s="118">
        <f>S902+S903</f>
        <v>6032850.6600000001</v>
      </c>
      <c r="T901" s="118">
        <f t="shared" si="129"/>
        <v>1488.2331351604707</v>
      </c>
      <c r="U901" s="118">
        <f>MAX(U902:U903)</f>
        <v>4601.5862068965516</v>
      </c>
      <c r="V901" s="183">
        <f t="shared" si="124"/>
        <v>3113.3530717360809</v>
      </c>
      <c r="W901" s="183"/>
      <c r="X901" s="183"/>
      <c r="Y901" s="64" t="e">
        <f t="shared" si="125"/>
        <v>#N/A</v>
      </c>
      <c r="AA901" s="64" t="e">
        <f t="shared" si="126"/>
        <v>#N/A</v>
      </c>
      <c r="AH901" s="64" t="e">
        <f t="shared" si="127"/>
        <v>#N/A</v>
      </c>
      <c r="AS901" s="64" t="e">
        <f t="shared" si="128"/>
        <v>#N/A</v>
      </c>
    </row>
    <row r="902" spans="1:45" s="64" customFormat="1" ht="36" customHeight="1" x14ac:dyDescent="0.9">
      <c r="A902" s="64">
        <v>1</v>
      </c>
      <c r="B902" s="92">
        <f>SUBTOTAL(103,$A$548:A902)</f>
        <v>315</v>
      </c>
      <c r="C902" s="91" t="s">
        <v>234</v>
      </c>
      <c r="D902" s="126">
        <v>1988</v>
      </c>
      <c r="E902" s="126"/>
      <c r="F902" s="145" t="s">
        <v>273</v>
      </c>
      <c r="G902" s="126">
        <v>5</v>
      </c>
      <c r="H902" s="126">
        <v>4</v>
      </c>
      <c r="I902" s="117">
        <v>3662.2</v>
      </c>
      <c r="J902" s="117">
        <v>2766.2</v>
      </c>
      <c r="K902" s="117">
        <v>2766.2</v>
      </c>
      <c r="L902" s="127">
        <v>110</v>
      </c>
      <c r="M902" s="126" t="s">
        <v>271</v>
      </c>
      <c r="N902" s="126" t="s">
        <v>275</v>
      </c>
      <c r="O902" s="124" t="s">
        <v>726</v>
      </c>
      <c r="P902" s="118">
        <v>4231329.66</v>
      </c>
      <c r="Q902" s="118">
        <v>0</v>
      </c>
      <c r="R902" s="118">
        <v>0</v>
      </c>
      <c r="S902" s="118">
        <f>P902-Q902-R902</f>
        <v>4231329.66</v>
      </c>
      <c r="T902" s="118">
        <f t="shared" si="129"/>
        <v>1155.4064933646443</v>
      </c>
      <c r="U902" s="118">
        <f>Y902</f>
        <v>1223.3915132980178</v>
      </c>
      <c r="V902" s="183">
        <f t="shared" si="124"/>
        <v>67.985019933373451</v>
      </c>
      <c r="W902" s="183"/>
      <c r="X902" s="183"/>
      <c r="Y902" s="64">
        <f t="shared" si="125"/>
        <v>1223.3915132980178</v>
      </c>
      <c r="AA902" s="64">
        <f t="shared" si="126"/>
        <v>858</v>
      </c>
      <c r="AH902" s="64" t="e">
        <f t="shared" si="127"/>
        <v>#N/A</v>
      </c>
      <c r="AS902" s="64" t="e">
        <f t="shared" si="128"/>
        <v>#N/A</v>
      </c>
    </row>
    <row r="903" spans="1:45" s="64" customFormat="1" ht="36" customHeight="1" x14ac:dyDescent="0.9">
      <c r="A903" s="64">
        <v>1</v>
      </c>
      <c r="B903" s="92">
        <f>SUBTOTAL(103,$A$548:A903)</f>
        <v>316</v>
      </c>
      <c r="C903" s="91" t="s">
        <v>233</v>
      </c>
      <c r="D903" s="126">
        <v>1966</v>
      </c>
      <c r="E903" s="126"/>
      <c r="F903" s="145" t="s">
        <v>273</v>
      </c>
      <c r="G903" s="126">
        <v>2</v>
      </c>
      <c r="H903" s="126">
        <v>1</v>
      </c>
      <c r="I903" s="117">
        <v>391.5</v>
      </c>
      <c r="J903" s="117">
        <v>367.2</v>
      </c>
      <c r="K903" s="117">
        <v>367.2</v>
      </c>
      <c r="L903" s="127">
        <v>8</v>
      </c>
      <c r="M903" s="126" t="s">
        <v>271</v>
      </c>
      <c r="N903" s="126" t="s">
        <v>275</v>
      </c>
      <c r="O903" s="124" t="s">
        <v>726</v>
      </c>
      <c r="P903" s="118">
        <v>1801521</v>
      </c>
      <c r="Q903" s="118">
        <v>0</v>
      </c>
      <c r="R903" s="118">
        <v>0</v>
      </c>
      <c r="S903" s="118">
        <f>P903-Q903-R903</f>
        <v>1801521</v>
      </c>
      <c r="T903" s="118">
        <f t="shared" si="129"/>
        <v>4601.5862068965516</v>
      </c>
      <c r="U903" s="118">
        <f>Y903</f>
        <v>4601.5862068965516</v>
      </c>
      <c r="V903" s="183">
        <f t="shared" si="124"/>
        <v>0</v>
      </c>
      <c r="W903" s="183"/>
      <c r="X903" s="183"/>
      <c r="Y903" s="64">
        <f t="shared" si="125"/>
        <v>4601.5862068965516</v>
      </c>
      <c r="AA903" s="64">
        <f t="shared" si="126"/>
        <v>345</v>
      </c>
      <c r="AH903" s="64" t="e">
        <f t="shared" si="127"/>
        <v>#N/A</v>
      </c>
      <c r="AS903" s="64" t="e">
        <f t="shared" si="128"/>
        <v>#N/A</v>
      </c>
    </row>
    <row r="904" spans="1:45" s="64" customFormat="1" ht="36" customHeight="1" x14ac:dyDescent="0.9">
      <c r="B904" s="91" t="s">
        <v>874</v>
      </c>
      <c r="C904" s="172"/>
      <c r="D904" s="126" t="s">
        <v>916</v>
      </c>
      <c r="E904" s="126" t="s">
        <v>916</v>
      </c>
      <c r="F904" s="126" t="s">
        <v>916</v>
      </c>
      <c r="G904" s="126" t="s">
        <v>916</v>
      </c>
      <c r="H904" s="126" t="s">
        <v>916</v>
      </c>
      <c r="I904" s="117">
        <f>I905</f>
        <v>545.34</v>
      </c>
      <c r="J904" s="117">
        <f>J905</f>
        <v>316.54000000000002</v>
      </c>
      <c r="K904" s="117">
        <f>K905</f>
        <v>204.04</v>
      </c>
      <c r="L904" s="127">
        <f>L905</f>
        <v>22</v>
      </c>
      <c r="M904" s="126" t="s">
        <v>916</v>
      </c>
      <c r="N904" s="126" t="s">
        <v>916</v>
      </c>
      <c r="O904" s="124" t="s">
        <v>916</v>
      </c>
      <c r="P904" s="118">
        <v>1799918.22</v>
      </c>
      <c r="Q904" s="118">
        <f>Q905</f>
        <v>0</v>
      </c>
      <c r="R904" s="118">
        <f>R905</f>
        <v>0</v>
      </c>
      <c r="S904" s="118">
        <f>S905</f>
        <v>1799918.22</v>
      </c>
      <c r="T904" s="118">
        <f t="shared" si="129"/>
        <v>3300.5431840686542</v>
      </c>
      <c r="U904" s="118">
        <f>T904</f>
        <v>3300.5431840686542</v>
      </c>
      <c r="V904" s="183">
        <f t="shared" si="124"/>
        <v>0</v>
      </c>
      <c r="W904" s="183"/>
      <c r="X904" s="183"/>
      <c r="Y904" s="64" t="e">
        <f t="shared" si="125"/>
        <v>#N/A</v>
      </c>
      <c r="AA904" s="64" t="e">
        <f t="shared" si="126"/>
        <v>#N/A</v>
      </c>
      <c r="AH904" s="64" t="e">
        <f t="shared" si="127"/>
        <v>#N/A</v>
      </c>
      <c r="AS904" s="64" t="e">
        <f t="shared" si="128"/>
        <v>#N/A</v>
      </c>
    </row>
    <row r="905" spans="1:45" s="64" customFormat="1" ht="36" customHeight="1" x14ac:dyDescent="0.9">
      <c r="A905" s="64">
        <v>1</v>
      </c>
      <c r="B905" s="92">
        <f>SUBTOTAL(103,$A$548:A905)</f>
        <v>317</v>
      </c>
      <c r="C905" s="91" t="s">
        <v>151</v>
      </c>
      <c r="D905" s="126">
        <v>1968</v>
      </c>
      <c r="E905" s="126"/>
      <c r="F905" s="145" t="s">
        <v>273</v>
      </c>
      <c r="G905" s="126">
        <v>2</v>
      </c>
      <c r="H905" s="126">
        <v>1</v>
      </c>
      <c r="I905" s="117">
        <v>545.34</v>
      </c>
      <c r="J905" s="117">
        <v>316.54000000000002</v>
      </c>
      <c r="K905" s="117">
        <v>204.04</v>
      </c>
      <c r="L905" s="127">
        <v>22</v>
      </c>
      <c r="M905" s="126" t="s">
        <v>271</v>
      </c>
      <c r="N905" s="126" t="s">
        <v>275</v>
      </c>
      <c r="O905" s="124" t="s">
        <v>1021</v>
      </c>
      <c r="P905" s="118">
        <v>1799918.22</v>
      </c>
      <c r="Q905" s="118">
        <v>0</v>
      </c>
      <c r="R905" s="118">
        <v>0</v>
      </c>
      <c r="S905" s="118">
        <f>P905-Q905-R905</f>
        <v>1799918.22</v>
      </c>
      <c r="T905" s="118">
        <f t="shared" si="129"/>
        <v>3300.5431840686542</v>
      </c>
      <c r="U905" s="118">
        <f>T905</f>
        <v>3300.5431840686542</v>
      </c>
      <c r="V905" s="183">
        <f t="shared" si="124"/>
        <v>0</v>
      </c>
      <c r="W905" s="183"/>
      <c r="X905" s="183"/>
      <c r="Y905" s="64">
        <f t="shared" si="125"/>
        <v>2872.5932445813619</v>
      </c>
      <c r="AA905" s="64">
        <f t="shared" si="126"/>
        <v>300</v>
      </c>
      <c r="AH905" s="64" t="e">
        <f t="shared" si="127"/>
        <v>#N/A</v>
      </c>
      <c r="AS905" s="64" t="e">
        <f t="shared" si="128"/>
        <v>#N/A</v>
      </c>
    </row>
    <row r="906" spans="1:45" s="64" customFormat="1" ht="36" customHeight="1" x14ac:dyDescent="0.9">
      <c r="B906" s="91" t="s">
        <v>902</v>
      </c>
      <c r="C906" s="91"/>
      <c r="D906" s="126" t="s">
        <v>916</v>
      </c>
      <c r="E906" s="126" t="s">
        <v>916</v>
      </c>
      <c r="F906" s="126" t="s">
        <v>916</v>
      </c>
      <c r="G906" s="126" t="s">
        <v>916</v>
      </c>
      <c r="H906" s="126" t="s">
        <v>916</v>
      </c>
      <c r="I906" s="117">
        <f>I907</f>
        <v>2138.8000000000002</v>
      </c>
      <c r="J906" s="117">
        <f>J907</f>
        <v>959.97</v>
      </c>
      <c r="K906" s="117">
        <f>K907</f>
        <v>458.1</v>
      </c>
      <c r="L906" s="127">
        <f>L907</f>
        <v>56</v>
      </c>
      <c r="M906" s="126" t="s">
        <v>916</v>
      </c>
      <c r="N906" s="126" t="s">
        <v>916</v>
      </c>
      <c r="O906" s="124" t="s">
        <v>916</v>
      </c>
      <c r="P906" s="118">
        <v>3974620.0799999996</v>
      </c>
      <c r="Q906" s="118">
        <f>Q907</f>
        <v>0</v>
      </c>
      <c r="R906" s="118">
        <f>R907</f>
        <v>0</v>
      </c>
      <c r="S906" s="118">
        <f>S907</f>
        <v>3974620.0799999996</v>
      </c>
      <c r="T906" s="118">
        <f t="shared" si="129"/>
        <v>1858.3411632691225</v>
      </c>
      <c r="U906" s="118">
        <f>T906</f>
        <v>1858.3411632691225</v>
      </c>
      <c r="V906" s="183">
        <f t="shared" si="124"/>
        <v>0</v>
      </c>
      <c r="W906" s="183"/>
      <c r="X906" s="183"/>
      <c r="Y906" s="64" t="e">
        <f t="shared" si="125"/>
        <v>#N/A</v>
      </c>
      <c r="AA906" s="64" t="e">
        <f t="shared" si="126"/>
        <v>#N/A</v>
      </c>
      <c r="AH906" s="64" t="e">
        <f t="shared" si="127"/>
        <v>#N/A</v>
      </c>
      <c r="AS906" s="64" t="e">
        <f t="shared" si="128"/>
        <v>#N/A</v>
      </c>
    </row>
    <row r="907" spans="1:45" s="64" customFormat="1" ht="36" customHeight="1" x14ac:dyDescent="0.9">
      <c r="A907" s="64">
        <v>1</v>
      </c>
      <c r="B907" s="92">
        <f>SUBTOTAL(103,$A$548:A907)</f>
        <v>318</v>
      </c>
      <c r="C907" s="91" t="s">
        <v>152</v>
      </c>
      <c r="D907" s="126">
        <v>1983</v>
      </c>
      <c r="E907" s="126"/>
      <c r="F907" s="145" t="s">
        <v>273</v>
      </c>
      <c r="G907" s="126">
        <v>2</v>
      </c>
      <c r="H907" s="126">
        <v>3</v>
      </c>
      <c r="I907" s="117">
        <v>2138.8000000000002</v>
      </c>
      <c r="J907" s="117">
        <v>959.97</v>
      </c>
      <c r="K907" s="117">
        <v>458.1</v>
      </c>
      <c r="L907" s="127">
        <v>56</v>
      </c>
      <c r="M907" s="126" t="s">
        <v>271</v>
      </c>
      <c r="N907" s="126" t="s">
        <v>275</v>
      </c>
      <c r="O907" s="124" t="s">
        <v>294</v>
      </c>
      <c r="P907" s="118">
        <v>3974620.0799999996</v>
      </c>
      <c r="Q907" s="118">
        <v>0</v>
      </c>
      <c r="R907" s="118">
        <v>0</v>
      </c>
      <c r="S907" s="118">
        <f>P907-Q907-R907</f>
        <v>3974620.0799999996</v>
      </c>
      <c r="T907" s="118">
        <f t="shared" si="129"/>
        <v>1858.3411632691225</v>
      </c>
      <c r="U907" s="118">
        <f>T907</f>
        <v>1858.3411632691225</v>
      </c>
      <c r="V907" s="183">
        <f t="shared" si="124"/>
        <v>0</v>
      </c>
      <c r="W907" s="183"/>
      <c r="X907" s="183"/>
      <c r="Y907" s="64">
        <f t="shared" si="125"/>
        <v>1611.3747288193872</v>
      </c>
      <c r="AA907" s="64">
        <f t="shared" si="126"/>
        <v>660.00388180300001</v>
      </c>
      <c r="AH907" s="64" t="e">
        <f t="shared" si="127"/>
        <v>#N/A</v>
      </c>
      <c r="AS907" s="64" t="e">
        <f t="shared" si="128"/>
        <v>#N/A</v>
      </c>
    </row>
    <row r="908" spans="1:45" s="64" customFormat="1" ht="36" customHeight="1" x14ac:dyDescent="0.9">
      <c r="B908" s="91" t="s">
        <v>903</v>
      </c>
      <c r="C908" s="91"/>
      <c r="D908" s="126" t="s">
        <v>916</v>
      </c>
      <c r="E908" s="126" t="s">
        <v>916</v>
      </c>
      <c r="F908" s="126" t="s">
        <v>916</v>
      </c>
      <c r="G908" s="126" t="s">
        <v>916</v>
      </c>
      <c r="H908" s="126" t="s">
        <v>916</v>
      </c>
      <c r="I908" s="117">
        <f>I909</f>
        <v>1367.9</v>
      </c>
      <c r="J908" s="117">
        <f>J909</f>
        <v>926.7</v>
      </c>
      <c r="K908" s="117">
        <f>K909</f>
        <v>324.89999999999998</v>
      </c>
      <c r="L908" s="127">
        <f>L909</f>
        <v>64</v>
      </c>
      <c r="M908" s="126" t="s">
        <v>916</v>
      </c>
      <c r="N908" s="126" t="s">
        <v>916</v>
      </c>
      <c r="O908" s="124" t="s">
        <v>916</v>
      </c>
      <c r="P908" s="118">
        <v>2957808</v>
      </c>
      <c r="Q908" s="118">
        <f>Q909</f>
        <v>0</v>
      </c>
      <c r="R908" s="118">
        <f>R909</f>
        <v>0</v>
      </c>
      <c r="S908" s="118">
        <f>S909</f>
        <v>2957808</v>
      </c>
      <c r="T908" s="118">
        <f t="shared" si="129"/>
        <v>2162.2984136267269</v>
      </c>
      <c r="U908" s="118">
        <f>U909</f>
        <v>2290.4305870312155</v>
      </c>
      <c r="V908" s="183">
        <f t="shared" si="124"/>
        <v>128.13217340448864</v>
      </c>
      <c r="W908" s="183"/>
      <c r="X908" s="183"/>
      <c r="Y908" s="64" t="e">
        <f t="shared" si="125"/>
        <v>#N/A</v>
      </c>
      <c r="AA908" s="64" t="e">
        <f t="shared" si="126"/>
        <v>#N/A</v>
      </c>
      <c r="AH908" s="64" t="e">
        <f t="shared" si="127"/>
        <v>#N/A</v>
      </c>
      <c r="AS908" s="64" t="e">
        <f t="shared" si="128"/>
        <v>#N/A</v>
      </c>
    </row>
    <row r="909" spans="1:45" s="64" customFormat="1" ht="36" customHeight="1" x14ac:dyDescent="0.9">
      <c r="A909" s="64">
        <v>1</v>
      </c>
      <c r="B909" s="92">
        <f>SUBTOTAL(103,$A$548:A909)</f>
        <v>319</v>
      </c>
      <c r="C909" s="91" t="s">
        <v>157</v>
      </c>
      <c r="D909" s="126">
        <v>1974</v>
      </c>
      <c r="E909" s="126"/>
      <c r="F909" s="145" t="s">
        <v>273</v>
      </c>
      <c r="G909" s="126">
        <v>2</v>
      </c>
      <c r="H909" s="126">
        <v>1</v>
      </c>
      <c r="I909" s="117">
        <v>1367.9</v>
      </c>
      <c r="J909" s="117">
        <v>926.7</v>
      </c>
      <c r="K909" s="117">
        <v>324.89999999999998</v>
      </c>
      <c r="L909" s="127">
        <v>64</v>
      </c>
      <c r="M909" s="126" t="s">
        <v>271</v>
      </c>
      <c r="N909" s="126" t="s">
        <v>275</v>
      </c>
      <c r="O909" s="124" t="s">
        <v>1021</v>
      </c>
      <c r="P909" s="118">
        <v>2957808</v>
      </c>
      <c r="Q909" s="118">
        <v>0</v>
      </c>
      <c r="R909" s="118">
        <v>0</v>
      </c>
      <c r="S909" s="118">
        <f>P909-Q909-R909</f>
        <v>2957808</v>
      </c>
      <c r="T909" s="118">
        <f t="shared" si="129"/>
        <v>2162.2984136267269</v>
      </c>
      <c r="U909" s="118">
        <f>Y909</f>
        <v>2290.4305870312155</v>
      </c>
      <c r="V909" s="183">
        <f t="shared" si="124"/>
        <v>128.13217340448864</v>
      </c>
      <c r="W909" s="183"/>
      <c r="X909" s="183"/>
      <c r="Y909" s="64">
        <f t="shared" si="125"/>
        <v>2290.4305870312155</v>
      </c>
      <c r="AA909" s="64">
        <f t="shared" si="126"/>
        <v>600</v>
      </c>
      <c r="AH909" s="64" t="e">
        <f t="shared" si="127"/>
        <v>#N/A</v>
      </c>
      <c r="AS909" s="64" t="e">
        <f t="shared" si="128"/>
        <v>#N/A</v>
      </c>
    </row>
    <row r="910" spans="1:45" s="64" customFormat="1" ht="36" customHeight="1" x14ac:dyDescent="0.9">
      <c r="B910" s="91" t="s">
        <v>876</v>
      </c>
      <c r="C910" s="91"/>
      <c r="D910" s="126" t="s">
        <v>916</v>
      </c>
      <c r="E910" s="126" t="s">
        <v>916</v>
      </c>
      <c r="F910" s="126" t="s">
        <v>916</v>
      </c>
      <c r="G910" s="126" t="s">
        <v>916</v>
      </c>
      <c r="H910" s="126" t="s">
        <v>916</v>
      </c>
      <c r="I910" s="117">
        <f>I911</f>
        <v>2208.39</v>
      </c>
      <c r="J910" s="117">
        <f>J911</f>
        <v>2056</v>
      </c>
      <c r="K910" s="117">
        <f>K911</f>
        <v>446.69</v>
      </c>
      <c r="L910" s="127">
        <f>L911</f>
        <v>74</v>
      </c>
      <c r="M910" s="126" t="s">
        <v>916</v>
      </c>
      <c r="N910" s="126" t="s">
        <v>916</v>
      </c>
      <c r="O910" s="124" t="s">
        <v>916</v>
      </c>
      <c r="P910" s="118">
        <v>4651054.3499999996</v>
      </c>
      <c r="Q910" s="118">
        <f>Q911</f>
        <v>0</v>
      </c>
      <c r="R910" s="118">
        <f>R911</f>
        <v>0</v>
      </c>
      <c r="S910" s="118">
        <f>S911</f>
        <v>4651054.3499999996</v>
      </c>
      <c r="T910" s="118">
        <f t="shared" si="129"/>
        <v>2106.0837759634846</v>
      </c>
      <c r="U910" s="118">
        <f>T910</f>
        <v>2106.0837759634846</v>
      </c>
      <c r="V910" s="183">
        <f t="shared" si="124"/>
        <v>0</v>
      </c>
      <c r="W910" s="183"/>
      <c r="X910" s="183"/>
      <c r="Y910" s="64" t="e">
        <f t="shared" si="125"/>
        <v>#N/A</v>
      </c>
      <c r="AA910" s="64" t="e">
        <f t="shared" si="126"/>
        <v>#N/A</v>
      </c>
      <c r="AH910" s="64" t="e">
        <f t="shared" si="127"/>
        <v>#N/A</v>
      </c>
      <c r="AS910" s="64" t="e">
        <f t="shared" si="128"/>
        <v>#N/A</v>
      </c>
    </row>
    <row r="911" spans="1:45" s="64" customFormat="1" ht="36" customHeight="1" x14ac:dyDescent="0.9">
      <c r="A911" s="64">
        <v>1</v>
      </c>
      <c r="B911" s="92">
        <f>SUBTOTAL(103,$A$548:A911)</f>
        <v>320</v>
      </c>
      <c r="C911" s="91" t="s">
        <v>156</v>
      </c>
      <c r="D911" s="126">
        <v>1970</v>
      </c>
      <c r="E911" s="126"/>
      <c r="F911" s="145" t="s">
        <v>273</v>
      </c>
      <c r="G911" s="126">
        <v>5</v>
      </c>
      <c r="H911" s="126">
        <v>4</v>
      </c>
      <c r="I911" s="117">
        <v>2208.39</v>
      </c>
      <c r="J911" s="117">
        <v>2056</v>
      </c>
      <c r="K911" s="117">
        <v>446.69</v>
      </c>
      <c r="L911" s="127">
        <v>74</v>
      </c>
      <c r="M911" s="126" t="s">
        <v>271</v>
      </c>
      <c r="N911" s="126" t="s">
        <v>275</v>
      </c>
      <c r="O911" s="124" t="s">
        <v>295</v>
      </c>
      <c r="P911" s="118">
        <v>4651054.3499999996</v>
      </c>
      <c r="Q911" s="118">
        <v>0</v>
      </c>
      <c r="R911" s="118">
        <v>0</v>
      </c>
      <c r="S911" s="118">
        <f>P911-Q911-R911</f>
        <v>4651054.3499999996</v>
      </c>
      <c r="T911" s="118">
        <f t="shared" si="129"/>
        <v>2106.0837759634846</v>
      </c>
      <c r="U911" s="118">
        <f>T911</f>
        <v>2106.0837759634846</v>
      </c>
      <c r="V911" s="183">
        <f t="shared" si="124"/>
        <v>0</v>
      </c>
      <c r="W911" s="183"/>
      <c r="X911" s="183"/>
      <c r="Y911" s="64">
        <f t="shared" si="125"/>
        <v>1856.154483583063</v>
      </c>
      <c r="AA911" s="64">
        <f t="shared" si="126"/>
        <v>785</v>
      </c>
      <c r="AH911" s="64" t="e">
        <f t="shared" si="127"/>
        <v>#N/A</v>
      </c>
      <c r="AS911" s="64" t="e">
        <f t="shared" si="128"/>
        <v>#N/A</v>
      </c>
    </row>
    <row r="912" spans="1:45" s="64" customFormat="1" ht="36" customHeight="1" x14ac:dyDescent="0.9">
      <c r="B912" s="91" t="s">
        <v>877</v>
      </c>
      <c r="C912" s="91"/>
      <c r="D912" s="126" t="s">
        <v>916</v>
      </c>
      <c r="E912" s="126" t="s">
        <v>916</v>
      </c>
      <c r="F912" s="126" t="s">
        <v>916</v>
      </c>
      <c r="G912" s="126" t="s">
        <v>916</v>
      </c>
      <c r="H912" s="126" t="s">
        <v>916</v>
      </c>
      <c r="I912" s="117">
        <f>I913</f>
        <v>1501</v>
      </c>
      <c r="J912" s="117">
        <f>J913</f>
        <v>442.7</v>
      </c>
      <c r="K912" s="117">
        <f>K913</f>
        <v>358.85</v>
      </c>
      <c r="L912" s="127">
        <f>L913</f>
        <v>32</v>
      </c>
      <c r="M912" s="126" t="s">
        <v>916</v>
      </c>
      <c r="N912" s="126" t="s">
        <v>916</v>
      </c>
      <c r="O912" s="124" t="s">
        <v>916</v>
      </c>
      <c r="P912" s="117">
        <v>3145116.58</v>
      </c>
      <c r="Q912" s="117">
        <f>Q913</f>
        <v>0</v>
      </c>
      <c r="R912" s="117">
        <f>R913</f>
        <v>0</v>
      </c>
      <c r="S912" s="117">
        <f>S913</f>
        <v>3145116.58</v>
      </c>
      <c r="T912" s="118">
        <f t="shared" si="129"/>
        <v>2095.3474883411059</v>
      </c>
      <c r="U912" s="118">
        <f>MAX(U913)</f>
        <v>2095.3472678214521</v>
      </c>
      <c r="V912" s="183">
        <f t="shared" si="124"/>
        <v>-2.2051965379432659E-4</v>
      </c>
      <c r="W912" s="183"/>
      <c r="X912" s="183"/>
      <c r="Y912" s="64" t="e">
        <f t="shared" si="125"/>
        <v>#N/A</v>
      </c>
      <c r="AA912" s="64" t="e">
        <f t="shared" si="126"/>
        <v>#N/A</v>
      </c>
      <c r="AH912" s="64" t="e">
        <f t="shared" si="127"/>
        <v>#N/A</v>
      </c>
      <c r="AS912" s="64" t="e">
        <f t="shared" si="128"/>
        <v>#N/A</v>
      </c>
    </row>
    <row r="913" spans="1:45" s="64" customFormat="1" ht="36" customHeight="1" x14ac:dyDescent="0.9">
      <c r="A913" s="64">
        <v>1</v>
      </c>
      <c r="B913" s="92">
        <f>SUBTOTAL(103,$A$548:A913)</f>
        <v>321</v>
      </c>
      <c r="C913" s="91" t="s">
        <v>155</v>
      </c>
      <c r="D913" s="126">
        <v>1978</v>
      </c>
      <c r="E913" s="126"/>
      <c r="F913" s="145" t="s">
        <v>273</v>
      </c>
      <c r="G913" s="126">
        <v>2</v>
      </c>
      <c r="H913" s="126">
        <v>2</v>
      </c>
      <c r="I913" s="117">
        <v>1501</v>
      </c>
      <c r="J913" s="117">
        <v>442.7</v>
      </c>
      <c r="K913" s="117">
        <v>358.85</v>
      </c>
      <c r="L913" s="127">
        <v>32</v>
      </c>
      <c r="M913" s="126" t="s">
        <v>271</v>
      </c>
      <c r="N913" s="126" t="s">
        <v>275</v>
      </c>
      <c r="O913" s="124" t="s">
        <v>300</v>
      </c>
      <c r="P913" s="118">
        <v>3145116.58</v>
      </c>
      <c r="Q913" s="118">
        <v>0</v>
      </c>
      <c r="R913" s="118">
        <v>0</v>
      </c>
      <c r="S913" s="118">
        <f>P913-Q913-R913</f>
        <v>3145116.58</v>
      </c>
      <c r="T913" s="118">
        <f t="shared" si="129"/>
        <v>2095.3474883411059</v>
      </c>
      <c r="U913" s="118">
        <f>Y913</f>
        <v>2095.3472678214521</v>
      </c>
      <c r="V913" s="183">
        <f t="shared" ref="V913:V976" si="131">U913-T913</f>
        <v>-2.2051965379432659E-4</v>
      </c>
      <c r="W913" s="183"/>
      <c r="X913" s="183"/>
      <c r="Y913" s="64">
        <f t="shared" ref="Y913:Y976" si="132">AA913*5221.8/I913</f>
        <v>2095.3472678214521</v>
      </c>
      <c r="AA913" s="64">
        <f t="shared" ref="AA913:AA976" si="133">VLOOKUP(C913,AC:AE,2,FALSE)</f>
        <v>602.30499999999995</v>
      </c>
      <c r="AH913" s="64" t="e">
        <f t="shared" ref="AH913:AH976" si="134">VLOOKUP(C913,AJ:AK,2,FALSE)</f>
        <v>#N/A</v>
      </c>
      <c r="AS913" s="64" t="e">
        <f t="shared" ref="AS913:AS976" si="135">VLOOKUP(C913,AU:AV,2,FALSE)</f>
        <v>#N/A</v>
      </c>
    </row>
    <row r="914" spans="1:45" s="64" customFormat="1" ht="36" customHeight="1" x14ac:dyDescent="0.9">
      <c r="B914" s="91" t="s">
        <v>878</v>
      </c>
      <c r="C914" s="91"/>
      <c r="D914" s="126" t="s">
        <v>916</v>
      </c>
      <c r="E914" s="126" t="s">
        <v>916</v>
      </c>
      <c r="F914" s="126" t="s">
        <v>916</v>
      </c>
      <c r="G914" s="126" t="s">
        <v>916</v>
      </c>
      <c r="H914" s="126" t="s">
        <v>916</v>
      </c>
      <c r="I914" s="117">
        <f>SUM(I915:I917)</f>
        <v>13890.4</v>
      </c>
      <c r="J914" s="117">
        <f>SUM(J915:J917)</f>
        <v>9782.61</v>
      </c>
      <c r="K914" s="117">
        <f>SUM(K915:K917)</f>
        <v>9631.75</v>
      </c>
      <c r="L914" s="127">
        <f>SUM(L915:L917)</f>
        <v>506</v>
      </c>
      <c r="M914" s="126" t="s">
        <v>916</v>
      </c>
      <c r="N914" s="126" t="s">
        <v>916</v>
      </c>
      <c r="O914" s="124" t="s">
        <v>916</v>
      </c>
      <c r="P914" s="118">
        <v>13767321.040000001</v>
      </c>
      <c r="Q914" s="118">
        <f>Q915+Q916+Q917</f>
        <v>0</v>
      </c>
      <c r="R914" s="118">
        <f>R915+R916+R917</f>
        <v>0</v>
      </c>
      <c r="S914" s="118">
        <f>S915+S916+S917</f>
        <v>13767321.040000001</v>
      </c>
      <c r="T914" s="118">
        <f t="shared" si="129"/>
        <v>991.1392789264529</v>
      </c>
      <c r="U914" s="118">
        <f>MAX(U915:U917)</f>
        <v>1638.3297992873806</v>
      </c>
      <c r="V914" s="183">
        <f t="shared" si="131"/>
        <v>647.19052036092774</v>
      </c>
      <c r="W914" s="183"/>
      <c r="X914" s="183"/>
      <c r="Y914" s="64" t="e">
        <f t="shared" si="132"/>
        <v>#N/A</v>
      </c>
      <c r="AA914" s="64" t="e">
        <f t="shared" si="133"/>
        <v>#N/A</v>
      </c>
      <c r="AH914" s="64" t="e">
        <f t="shared" si="134"/>
        <v>#N/A</v>
      </c>
      <c r="AS914" s="64" t="e">
        <f t="shared" si="135"/>
        <v>#N/A</v>
      </c>
    </row>
    <row r="915" spans="1:45" s="64" customFormat="1" ht="36" customHeight="1" x14ac:dyDescent="0.9">
      <c r="A915" s="64">
        <v>1</v>
      </c>
      <c r="B915" s="92">
        <f>SUBTOTAL(103,$A$548:A915)</f>
        <v>322</v>
      </c>
      <c r="C915" s="91" t="s">
        <v>148</v>
      </c>
      <c r="D915" s="126">
        <v>1989</v>
      </c>
      <c r="E915" s="126"/>
      <c r="F915" s="145" t="s">
        <v>293</v>
      </c>
      <c r="G915" s="126">
        <v>5</v>
      </c>
      <c r="H915" s="126">
        <v>5</v>
      </c>
      <c r="I915" s="117">
        <v>3901.1</v>
      </c>
      <c r="J915" s="117">
        <v>2252.5</v>
      </c>
      <c r="K915" s="117">
        <v>2252.1999999999998</v>
      </c>
      <c r="L915" s="127">
        <v>188</v>
      </c>
      <c r="M915" s="126" t="s">
        <v>271</v>
      </c>
      <c r="N915" s="126" t="s">
        <v>297</v>
      </c>
      <c r="O915" s="124" t="s">
        <v>301</v>
      </c>
      <c r="P915" s="118">
        <v>6391288.3800000008</v>
      </c>
      <c r="Q915" s="118">
        <v>0</v>
      </c>
      <c r="R915" s="118">
        <v>0</v>
      </c>
      <c r="S915" s="118">
        <f>P915-Q915-R915</f>
        <v>6391288.3800000008</v>
      </c>
      <c r="T915" s="118">
        <f t="shared" si="129"/>
        <v>1638.3297992873806</v>
      </c>
      <c r="U915" s="118">
        <f>T915</f>
        <v>1638.3297992873806</v>
      </c>
      <c r="V915" s="183">
        <f t="shared" si="131"/>
        <v>0</v>
      </c>
      <c r="W915" s="183"/>
      <c r="X915" s="183"/>
      <c r="Y915" s="64">
        <f t="shared" si="132"/>
        <v>1474.8094742508524</v>
      </c>
      <c r="AA915" s="64">
        <f t="shared" si="133"/>
        <v>1101.8</v>
      </c>
      <c r="AH915" s="64" t="e">
        <f t="shared" si="134"/>
        <v>#N/A</v>
      </c>
      <c r="AS915" s="64" t="e">
        <f t="shared" si="135"/>
        <v>#N/A</v>
      </c>
    </row>
    <row r="916" spans="1:45" s="64" customFormat="1" ht="36" customHeight="1" x14ac:dyDescent="0.9">
      <c r="A916" s="64">
        <v>1</v>
      </c>
      <c r="B916" s="92">
        <f>SUBTOTAL(103,$A$548:A916)</f>
        <v>323</v>
      </c>
      <c r="C916" s="91" t="s">
        <v>160</v>
      </c>
      <c r="D916" s="126">
        <v>1975</v>
      </c>
      <c r="E916" s="126"/>
      <c r="F916" s="145" t="s">
        <v>293</v>
      </c>
      <c r="G916" s="126">
        <v>5</v>
      </c>
      <c r="H916" s="126">
        <v>8</v>
      </c>
      <c r="I916" s="117">
        <v>8270.9699999999993</v>
      </c>
      <c r="J916" s="117">
        <v>6155.11</v>
      </c>
      <c r="K916" s="117">
        <v>6155.11</v>
      </c>
      <c r="L916" s="127">
        <v>233</v>
      </c>
      <c r="M916" s="126" t="s">
        <v>271</v>
      </c>
      <c r="N916" s="126" t="s">
        <v>275</v>
      </c>
      <c r="O916" s="124" t="s">
        <v>300</v>
      </c>
      <c r="P916" s="118">
        <v>6834775.6500000004</v>
      </c>
      <c r="Q916" s="118">
        <v>0</v>
      </c>
      <c r="R916" s="118">
        <v>0</v>
      </c>
      <c r="S916" s="118">
        <f>P916-Q916-R916</f>
        <v>6834775.6500000004</v>
      </c>
      <c r="T916" s="118">
        <f t="shared" si="129"/>
        <v>826.35720477767427</v>
      </c>
      <c r="U916" s="118">
        <f>Y916</f>
        <v>973.43266025629407</v>
      </c>
      <c r="V916" s="183">
        <f t="shared" si="131"/>
        <v>147.0754554786198</v>
      </c>
      <c r="W916" s="183"/>
      <c r="X916" s="183"/>
      <c r="Y916" s="64">
        <f t="shared" si="132"/>
        <v>973.43266025629407</v>
      </c>
      <c r="AA916" s="64">
        <f t="shared" si="133"/>
        <v>1541.85</v>
      </c>
      <c r="AH916" s="64" t="e">
        <f t="shared" si="134"/>
        <v>#N/A</v>
      </c>
      <c r="AS916" s="64" t="e">
        <f t="shared" si="135"/>
        <v>#N/A</v>
      </c>
    </row>
    <row r="917" spans="1:45" s="64" customFormat="1" ht="36" customHeight="1" x14ac:dyDescent="0.9">
      <c r="A917" s="64">
        <v>1</v>
      </c>
      <c r="B917" s="92">
        <f>SUBTOTAL(103,$A$548:A917)</f>
        <v>324</v>
      </c>
      <c r="C917" s="91" t="s">
        <v>150</v>
      </c>
      <c r="D917" s="126">
        <v>1928</v>
      </c>
      <c r="E917" s="126"/>
      <c r="F917" s="145" t="s">
        <v>273</v>
      </c>
      <c r="G917" s="126">
        <v>3</v>
      </c>
      <c r="H917" s="126">
        <v>4</v>
      </c>
      <c r="I917" s="117">
        <v>1718.33</v>
      </c>
      <c r="J917" s="117">
        <v>1375</v>
      </c>
      <c r="K917" s="117">
        <v>1224.44</v>
      </c>
      <c r="L917" s="127">
        <v>85</v>
      </c>
      <c r="M917" s="126" t="s">
        <v>271</v>
      </c>
      <c r="N917" s="126" t="s">
        <v>275</v>
      </c>
      <c r="O917" s="124" t="s">
        <v>302</v>
      </c>
      <c r="P917" s="118">
        <v>541257.01</v>
      </c>
      <c r="Q917" s="118">
        <v>0</v>
      </c>
      <c r="R917" s="118">
        <v>0</v>
      </c>
      <c r="S917" s="118">
        <f>P917-Q917-R917</f>
        <v>541257.01</v>
      </c>
      <c r="T917" s="118">
        <f t="shared" si="129"/>
        <v>314.99014159096333</v>
      </c>
      <c r="U917" s="118">
        <v>314.99014159096333</v>
      </c>
      <c r="V917" s="183">
        <f t="shared" si="131"/>
        <v>0</v>
      </c>
      <c r="W917" s="183"/>
      <c r="X917" s="183"/>
      <c r="Y917" s="64" t="e">
        <f t="shared" si="132"/>
        <v>#N/A</v>
      </c>
      <c r="AA917" s="64" t="e">
        <f t="shared" si="133"/>
        <v>#N/A</v>
      </c>
      <c r="AH917" s="64" t="e">
        <f t="shared" si="134"/>
        <v>#N/A</v>
      </c>
      <c r="AS917" s="64" t="e">
        <f t="shared" si="135"/>
        <v>#N/A</v>
      </c>
    </row>
    <row r="918" spans="1:45" s="64" customFormat="1" ht="36" customHeight="1" x14ac:dyDescent="0.9">
      <c r="B918" s="91" t="s">
        <v>879</v>
      </c>
      <c r="C918" s="172"/>
      <c r="D918" s="126" t="s">
        <v>916</v>
      </c>
      <c r="E918" s="126" t="s">
        <v>916</v>
      </c>
      <c r="F918" s="126" t="s">
        <v>916</v>
      </c>
      <c r="G918" s="126" t="s">
        <v>916</v>
      </c>
      <c r="H918" s="126" t="s">
        <v>916</v>
      </c>
      <c r="I918" s="117">
        <f>SUM(I919:I920)</f>
        <v>4401.9799999999996</v>
      </c>
      <c r="J918" s="117">
        <f>SUM(J919:J920)</f>
        <v>3794.38</v>
      </c>
      <c r="K918" s="117">
        <f>SUM(K919:K920)</f>
        <v>3480</v>
      </c>
      <c r="L918" s="127">
        <f>SUM(L919:L920)</f>
        <v>148</v>
      </c>
      <c r="M918" s="126" t="s">
        <v>916</v>
      </c>
      <c r="N918" s="126" t="s">
        <v>916</v>
      </c>
      <c r="O918" s="124" t="s">
        <v>916</v>
      </c>
      <c r="P918" s="118">
        <v>9023270.3999999985</v>
      </c>
      <c r="Q918" s="118">
        <f>Q919+Q920</f>
        <v>0</v>
      </c>
      <c r="R918" s="118">
        <f>R919+R920</f>
        <v>0</v>
      </c>
      <c r="S918" s="118">
        <f>S919+S920</f>
        <v>9023270.3999999985</v>
      </c>
      <c r="T918" s="118">
        <f t="shared" si="129"/>
        <v>2049.820853343268</v>
      </c>
      <c r="U918" s="118">
        <f>MAX(U919:U920)</f>
        <v>4073.744680851064</v>
      </c>
      <c r="V918" s="183">
        <f t="shared" si="131"/>
        <v>2023.923827507796</v>
      </c>
      <c r="W918" s="183"/>
      <c r="X918" s="183"/>
      <c r="Y918" s="64" t="e">
        <f t="shared" si="132"/>
        <v>#N/A</v>
      </c>
      <c r="AA918" s="64" t="e">
        <f t="shared" si="133"/>
        <v>#N/A</v>
      </c>
      <c r="AH918" s="64" t="e">
        <f t="shared" si="134"/>
        <v>#N/A</v>
      </c>
      <c r="AS918" s="64" t="e">
        <f t="shared" si="135"/>
        <v>#N/A</v>
      </c>
    </row>
    <row r="919" spans="1:45" s="64" customFormat="1" ht="36" customHeight="1" x14ac:dyDescent="0.9">
      <c r="A919" s="64">
        <v>1</v>
      </c>
      <c r="B919" s="92">
        <f>SUBTOTAL(103,$A$548:A919)</f>
        <v>325</v>
      </c>
      <c r="C919" s="91" t="s">
        <v>97</v>
      </c>
      <c r="D919" s="126">
        <v>1967</v>
      </c>
      <c r="E919" s="126"/>
      <c r="F919" s="145" t="s">
        <v>273</v>
      </c>
      <c r="G919" s="126">
        <v>2</v>
      </c>
      <c r="H919" s="126">
        <v>2</v>
      </c>
      <c r="I919" s="117">
        <v>987</v>
      </c>
      <c r="J919" s="117">
        <v>915.8</v>
      </c>
      <c r="K919" s="117">
        <v>915.8</v>
      </c>
      <c r="L919" s="127">
        <v>33</v>
      </c>
      <c r="M919" s="126" t="s">
        <v>271</v>
      </c>
      <c r="N919" s="126" t="s">
        <v>275</v>
      </c>
      <c r="O919" s="124" t="s">
        <v>288</v>
      </c>
      <c r="P919" s="118">
        <v>4020786</v>
      </c>
      <c r="Q919" s="118">
        <v>0</v>
      </c>
      <c r="R919" s="118">
        <v>0</v>
      </c>
      <c r="S919" s="118">
        <f>P919-Q919-R919</f>
        <v>4020786</v>
      </c>
      <c r="T919" s="118">
        <f t="shared" si="129"/>
        <v>4073.744680851064</v>
      </c>
      <c r="U919" s="118">
        <f>Y919</f>
        <v>4073.744680851064</v>
      </c>
      <c r="V919" s="183">
        <f t="shared" si="131"/>
        <v>0</v>
      </c>
      <c r="W919" s="183"/>
      <c r="X919" s="183"/>
      <c r="Y919" s="64">
        <f t="shared" si="132"/>
        <v>4073.744680851064</v>
      </c>
      <c r="AA919" s="64">
        <f t="shared" si="133"/>
        <v>770</v>
      </c>
      <c r="AH919" s="64" t="e">
        <f t="shared" si="134"/>
        <v>#N/A</v>
      </c>
      <c r="AS919" s="64" t="e">
        <f t="shared" si="135"/>
        <v>#N/A</v>
      </c>
    </row>
    <row r="920" spans="1:45" s="64" customFormat="1" ht="36" customHeight="1" x14ac:dyDescent="0.9">
      <c r="A920" s="64">
        <v>1</v>
      </c>
      <c r="B920" s="92">
        <f>SUBTOTAL(103,$A$548:A920)</f>
        <v>326</v>
      </c>
      <c r="C920" s="91" t="s">
        <v>96</v>
      </c>
      <c r="D920" s="126">
        <v>1971</v>
      </c>
      <c r="E920" s="126"/>
      <c r="F920" s="145" t="s">
        <v>273</v>
      </c>
      <c r="G920" s="126">
        <v>5</v>
      </c>
      <c r="H920" s="126">
        <v>4</v>
      </c>
      <c r="I920" s="117">
        <v>3414.98</v>
      </c>
      <c r="J920" s="117">
        <v>2878.58</v>
      </c>
      <c r="K920" s="117">
        <v>2564.1999999999998</v>
      </c>
      <c r="L920" s="127">
        <v>115</v>
      </c>
      <c r="M920" s="126" t="s">
        <v>271</v>
      </c>
      <c r="N920" s="126" t="s">
        <v>275</v>
      </c>
      <c r="O920" s="124" t="s">
        <v>286</v>
      </c>
      <c r="P920" s="118">
        <v>5002484.3999999994</v>
      </c>
      <c r="Q920" s="118">
        <v>0</v>
      </c>
      <c r="R920" s="118">
        <v>0</v>
      </c>
      <c r="S920" s="118">
        <f>P920-Q920-R920</f>
        <v>5002484.3999999994</v>
      </c>
      <c r="T920" s="118">
        <f t="shared" si="129"/>
        <v>1464.8649186818077</v>
      </c>
      <c r="U920" s="118">
        <f>Y920</f>
        <v>1464.8649186818079</v>
      </c>
      <c r="V920" s="183">
        <f t="shared" si="131"/>
        <v>0</v>
      </c>
      <c r="W920" s="183"/>
      <c r="X920" s="183"/>
      <c r="Y920" s="64">
        <f t="shared" si="132"/>
        <v>1464.8649186818079</v>
      </c>
      <c r="AA920" s="64">
        <f t="shared" si="133"/>
        <v>958</v>
      </c>
      <c r="AH920" s="64" t="e">
        <f t="shared" si="134"/>
        <v>#N/A</v>
      </c>
      <c r="AS920" s="64" t="e">
        <f t="shared" si="135"/>
        <v>#N/A</v>
      </c>
    </row>
    <row r="921" spans="1:45" s="64" customFormat="1" ht="36" customHeight="1" x14ac:dyDescent="0.9">
      <c r="B921" s="91" t="s">
        <v>880</v>
      </c>
      <c r="C921" s="91"/>
      <c r="D921" s="126" t="s">
        <v>916</v>
      </c>
      <c r="E921" s="126" t="s">
        <v>916</v>
      </c>
      <c r="F921" s="126" t="s">
        <v>916</v>
      </c>
      <c r="G921" s="126" t="s">
        <v>916</v>
      </c>
      <c r="H921" s="126" t="s">
        <v>916</v>
      </c>
      <c r="I921" s="117">
        <f>I922</f>
        <v>708.1</v>
      </c>
      <c r="J921" s="117">
        <f>J922</f>
        <v>650.9</v>
      </c>
      <c r="K921" s="117">
        <f>K922</f>
        <v>650.9</v>
      </c>
      <c r="L921" s="127">
        <f>L922</f>
        <v>43</v>
      </c>
      <c r="M921" s="126" t="s">
        <v>916</v>
      </c>
      <c r="N921" s="126" t="s">
        <v>916</v>
      </c>
      <c r="O921" s="124" t="s">
        <v>916</v>
      </c>
      <c r="P921" s="118">
        <v>3080862</v>
      </c>
      <c r="Q921" s="118">
        <f>Q922</f>
        <v>0</v>
      </c>
      <c r="R921" s="118">
        <f>R922</f>
        <v>0</v>
      </c>
      <c r="S921" s="118">
        <f>S922</f>
        <v>3080862</v>
      </c>
      <c r="T921" s="118">
        <f t="shared" si="129"/>
        <v>4350.8854681542152</v>
      </c>
      <c r="U921" s="118">
        <f>U922</f>
        <v>4350.8854681542152</v>
      </c>
      <c r="V921" s="183">
        <f t="shared" si="131"/>
        <v>0</v>
      </c>
      <c r="W921" s="183"/>
      <c r="X921" s="183"/>
      <c r="Y921" s="64" t="e">
        <f t="shared" si="132"/>
        <v>#N/A</v>
      </c>
      <c r="AA921" s="64" t="e">
        <f t="shared" si="133"/>
        <v>#N/A</v>
      </c>
      <c r="AH921" s="64" t="e">
        <f t="shared" si="134"/>
        <v>#N/A</v>
      </c>
      <c r="AS921" s="64" t="e">
        <f t="shared" si="135"/>
        <v>#N/A</v>
      </c>
    </row>
    <row r="922" spans="1:45" s="64" customFormat="1" ht="36" customHeight="1" x14ac:dyDescent="0.9">
      <c r="A922" s="64">
        <v>1</v>
      </c>
      <c r="B922" s="92">
        <f>SUBTOTAL(103,$A$548:A922)</f>
        <v>327</v>
      </c>
      <c r="C922" s="91" t="s">
        <v>98</v>
      </c>
      <c r="D922" s="126">
        <v>1969</v>
      </c>
      <c r="E922" s="126"/>
      <c r="F922" s="145" t="s">
        <v>273</v>
      </c>
      <c r="G922" s="126">
        <v>2</v>
      </c>
      <c r="H922" s="126">
        <v>2</v>
      </c>
      <c r="I922" s="117">
        <v>708.1</v>
      </c>
      <c r="J922" s="117">
        <v>650.9</v>
      </c>
      <c r="K922" s="117">
        <v>650.9</v>
      </c>
      <c r="L922" s="127">
        <v>43</v>
      </c>
      <c r="M922" s="126" t="s">
        <v>271</v>
      </c>
      <c r="N922" s="126" t="s">
        <v>275</v>
      </c>
      <c r="O922" s="124" t="s">
        <v>1022</v>
      </c>
      <c r="P922" s="118">
        <v>3080862</v>
      </c>
      <c r="Q922" s="118">
        <v>0</v>
      </c>
      <c r="R922" s="118">
        <v>0</v>
      </c>
      <c r="S922" s="118">
        <f>P922-Q922-R922</f>
        <v>3080862</v>
      </c>
      <c r="T922" s="118">
        <f t="shared" si="129"/>
        <v>4350.8854681542152</v>
      </c>
      <c r="U922" s="118">
        <f>Y922</f>
        <v>4350.8854681542152</v>
      </c>
      <c r="V922" s="183">
        <f t="shared" si="131"/>
        <v>0</v>
      </c>
      <c r="W922" s="183"/>
      <c r="X922" s="183"/>
      <c r="Y922" s="64">
        <f t="shared" si="132"/>
        <v>4350.8854681542152</v>
      </c>
      <c r="AA922" s="64">
        <f t="shared" si="133"/>
        <v>590</v>
      </c>
      <c r="AH922" s="64" t="e">
        <f t="shared" si="134"/>
        <v>#N/A</v>
      </c>
      <c r="AS922" s="64" t="e">
        <f t="shared" si="135"/>
        <v>#N/A</v>
      </c>
    </row>
    <row r="923" spans="1:45" s="64" customFormat="1" ht="36" customHeight="1" x14ac:dyDescent="0.9">
      <c r="B923" s="91" t="s">
        <v>904</v>
      </c>
      <c r="C923" s="91"/>
      <c r="D923" s="126" t="s">
        <v>916</v>
      </c>
      <c r="E923" s="126" t="s">
        <v>916</v>
      </c>
      <c r="F923" s="126" t="s">
        <v>916</v>
      </c>
      <c r="G923" s="126" t="s">
        <v>916</v>
      </c>
      <c r="H923" s="126" t="s">
        <v>916</v>
      </c>
      <c r="I923" s="117">
        <f>I924</f>
        <v>788.3</v>
      </c>
      <c r="J923" s="117">
        <f>J924</f>
        <v>726.9</v>
      </c>
      <c r="K923" s="117">
        <f>K924</f>
        <v>726.9</v>
      </c>
      <c r="L923" s="127">
        <f>L924</f>
        <v>20</v>
      </c>
      <c r="M923" s="126" t="s">
        <v>916</v>
      </c>
      <c r="N923" s="126" t="s">
        <v>916</v>
      </c>
      <c r="O923" s="124" t="s">
        <v>916</v>
      </c>
      <c r="P923" s="118">
        <v>3655260</v>
      </c>
      <c r="Q923" s="118">
        <f>Q924</f>
        <v>0</v>
      </c>
      <c r="R923" s="118">
        <f>R924</f>
        <v>0</v>
      </c>
      <c r="S923" s="118">
        <f>S924</f>
        <v>3655260</v>
      </c>
      <c r="T923" s="118">
        <f t="shared" si="129"/>
        <v>4636.8895090701508</v>
      </c>
      <c r="U923" s="118">
        <f>U924</f>
        <v>4636.8895090701508</v>
      </c>
      <c r="V923" s="183">
        <f t="shared" si="131"/>
        <v>0</v>
      </c>
      <c r="W923" s="183"/>
      <c r="X923" s="183"/>
      <c r="Y923" s="64" t="e">
        <f t="shared" si="132"/>
        <v>#N/A</v>
      </c>
      <c r="AA923" s="64" t="e">
        <f t="shared" si="133"/>
        <v>#N/A</v>
      </c>
      <c r="AH923" s="64" t="e">
        <f t="shared" si="134"/>
        <v>#N/A</v>
      </c>
      <c r="AS923" s="64" t="e">
        <f t="shared" si="135"/>
        <v>#N/A</v>
      </c>
    </row>
    <row r="924" spans="1:45" s="64" customFormat="1" ht="36" customHeight="1" x14ac:dyDescent="0.9">
      <c r="A924" s="64">
        <v>1</v>
      </c>
      <c r="B924" s="92">
        <f>SUBTOTAL(103,$A$548:A924)</f>
        <v>328</v>
      </c>
      <c r="C924" s="91" t="s">
        <v>99</v>
      </c>
      <c r="D924" s="126">
        <v>1972</v>
      </c>
      <c r="E924" s="126"/>
      <c r="F924" s="145" t="s">
        <v>273</v>
      </c>
      <c r="G924" s="126">
        <v>2</v>
      </c>
      <c r="H924" s="126">
        <v>2</v>
      </c>
      <c r="I924" s="117">
        <v>788.3</v>
      </c>
      <c r="J924" s="117">
        <v>726.9</v>
      </c>
      <c r="K924" s="117">
        <v>726.9</v>
      </c>
      <c r="L924" s="127">
        <v>20</v>
      </c>
      <c r="M924" s="126" t="s">
        <v>271</v>
      </c>
      <c r="N924" s="126" t="s">
        <v>289</v>
      </c>
      <c r="O924" s="124" t="s">
        <v>274</v>
      </c>
      <c r="P924" s="118">
        <v>3655260</v>
      </c>
      <c r="Q924" s="118">
        <v>0</v>
      </c>
      <c r="R924" s="118">
        <v>0</v>
      </c>
      <c r="S924" s="118">
        <f>P924-Q924-R924</f>
        <v>3655260</v>
      </c>
      <c r="T924" s="118">
        <f t="shared" si="129"/>
        <v>4636.8895090701508</v>
      </c>
      <c r="U924" s="118">
        <f>Y924</f>
        <v>4636.8895090701508</v>
      </c>
      <c r="V924" s="183">
        <f t="shared" si="131"/>
        <v>0</v>
      </c>
      <c r="W924" s="183"/>
      <c r="X924" s="183"/>
      <c r="Y924" s="64">
        <f t="shared" si="132"/>
        <v>4636.8895090701508</v>
      </c>
      <c r="AA924" s="64">
        <f t="shared" si="133"/>
        <v>700</v>
      </c>
      <c r="AH924" s="64" t="e">
        <f t="shared" si="134"/>
        <v>#N/A</v>
      </c>
      <c r="AS924" s="64" t="e">
        <f t="shared" si="135"/>
        <v>#N/A</v>
      </c>
    </row>
    <row r="925" spans="1:45" s="64" customFormat="1" ht="36" customHeight="1" x14ac:dyDescent="0.9">
      <c r="B925" s="91" t="s">
        <v>882</v>
      </c>
      <c r="C925" s="91"/>
      <c r="D925" s="126" t="s">
        <v>916</v>
      </c>
      <c r="E925" s="126" t="s">
        <v>916</v>
      </c>
      <c r="F925" s="126" t="s">
        <v>916</v>
      </c>
      <c r="G925" s="126" t="s">
        <v>916</v>
      </c>
      <c r="H925" s="126" t="s">
        <v>916</v>
      </c>
      <c r="I925" s="117">
        <f>I926</f>
        <v>707.1</v>
      </c>
      <c r="J925" s="117">
        <f>J926</f>
        <v>649.5</v>
      </c>
      <c r="K925" s="117">
        <f>K926</f>
        <v>649.5</v>
      </c>
      <c r="L925" s="127">
        <f>L926</f>
        <v>32</v>
      </c>
      <c r="M925" s="126" t="s">
        <v>916</v>
      </c>
      <c r="N925" s="126" t="s">
        <v>916</v>
      </c>
      <c r="O925" s="124" t="s">
        <v>916</v>
      </c>
      <c r="P925" s="118">
        <v>3080862</v>
      </c>
      <c r="Q925" s="118">
        <f>Q926</f>
        <v>0</v>
      </c>
      <c r="R925" s="118">
        <f>R926</f>
        <v>0</v>
      </c>
      <c r="S925" s="118">
        <f>S926</f>
        <v>3080862</v>
      </c>
      <c r="T925" s="118">
        <f t="shared" si="129"/>
        <v>4357.0386084005086</v>
      </c>
      <c r="U925" s="118">
        <f>U926</f>
        <v>4357.0386084005086</v>
      </c>
      <c r="V925" s="183">
        <f t="shared" si="131"/>
        <v>0</v>
      </c>
      <c r="W925" s="183"/>
      <c r="X925" s="183"/>
      <c r="Y925" s="64" t="e">
        <f t="shared" si="132"/>
        <v>#N/A</v>
      </c>
      <c r="AA925" s="64" t="e">
        <f t="shared" si="133"/>
        <v>#N/A</v>
      </c>
      <c r="AH925" s="64" t="e">
        <f t="shared" si="134"/>
        <v>#N/A</v>
      </c>
      <c r="AS925" s="64" t="e">
        <f t="shared" si="135"/>
        <v>#N/A</v>
      </c>
    </row>
    <row r="926" spans="1:45" s="64" customFormat="1" ht="36" customHeight="1" x14ac:dyDescent="0.9">
      <c r="A926" s="64">
        <v>1</v>
      </c>
      <c r="B926" s="92">
        <f>SUBTOTAL(103,$A$548:A926)</f>
        <v>329</v>
      </c>
      <c r="C926" s="91" t="s">
        <v>100</v>
      </c>
      <c r="D926" s="126">
        <v>1971</v>
      </c>
      <c r="E926" s="126"/>
      <c r="F926" s="145" t="s">
        <v>273</v>
      </c>
      <c r="G926" s="126">
        <v>2</v>
      </c>
      <c r="H926" s="126">
        <v>2</v>
      </c>
      <c r="I926" s="117">
        <v>707.1</v>
      </c>
      <c r="J926" s="117">
        <v>649.5</v>
      </c>
      <c r="K926" s="117">
        <v>649.5</v>
      </c>
      <c r="L926" s="127">
        <v>32</v>
      </c>
      <c r="M926" s="126" t="s">
        <v>271</v>
      </c>
      <c r="N926" s="126" t="s">
        <v>275</v>
      </c>
      <c r="O926" s="124" t="s">
        <v>288</v>
      </c>
      <c r="P926" s="118">
        <v>3080862</v>
      </c>
      <c r="Q926" s="118">
        <v>0</v>
      </c>
      <c r="R926" s="118">
        <v>0</v>
      </c>
      <c r="S926" s="118">
        <f>P926-Q926-R926</f>
        <v>3080862</v>
      </c>
      <c r="T926" s="118">
        <f t="shared" si="129"/>
        <v>4357.0386084005086</v>
      </c>
      <c r="U926" s="118">
        <f>Y926</f>
        <v>4357.0386084005086</v>
      </c>
      <c r="V926" s="183">
        <f t="shared" si="131"/>
        <v>0</v>
      </c>
      <c r="W926" s="183"/>
      <c r="X926" s="183"/>
      <c r="Y926" s="64">
        <f t="shared" si="132"/>
        <v>4357.0386084005086</v>
      </c>
      <c r="AA926" s="64">
        <f t="shared" si="133"/>
        <v>590</v>
      </c>
      <c r="AH926" s="64" t="e">
        <f t="shared" si="134"/>
        <v>#N/A</v>
      </c>
      <c r="AS926" s="64" t="e">
        <f t="shared" si="135"/>
        <v>#N/A</v>
      </c>
    </row>
    <row r="927" spans="1:45" s="64" customFormat="1" ht="36" customHeight="1" x14ac:dyDescent="0.9">
      <c r="B927" s="91" t="s">
        <v>883</v>
      </c>
      <c r="C927" s="172"/>
      <c r="D927" s="126" t="s">
        <v>916</v>
      </c>
      <c r="E927" s="126" t="s">
        <v>916</v>
      </c>
      <c r="F927" s="126" t="s">
        <v>916</v>
      </c>
      <c r="G927" s="126" t="s">
        <v>916</v>
      </c>
      <c r="H927" s="126" t="s">
        <v>916</v>
      </c>
      <c r="I927" s="117">
        <f>SUM(I928:I930)</f>
        <v>2386.1999999999998</v>
      </c>
      <c r="J927" s="117">
        <f>SUM(J928:J930)</f>
        <v>1601.9</v>
      </c>
      <c r="K927" s="117">
        <f>SUM(K928:K930)</f>
        <v>1428.6999999999998</v>
      </c>
      <c r="L927" s="127">
        <f>SUM(L928:L930)</f>
        <v>70</v>
      </c>
      <c r="M927" s="126" t="s">
        <v>916</v>
      </c>
      <c r="N927" s="126" t="s">
        <v>916</v>
      </c>
      <c r="O927" s="124" t="s">
        <v>916</v>
      </c>
      <c r="P927" s="118">
        <v>7774419.2400000002</v>
      </c>
      <c r="Q927" s="118">
        <f>Q928+Q929+Q930</f>
        <v>0</v>
      </c>
      <c r="R927" s="118">
        <f>R928+R929+R930</f>
        <v>0</v>
      </c>
      <c r="S927" s="118">
        <f>S928+S929+S930</f>
        <v>7774419.2400000002</v>
      </c>
      <c r="T927" s="118">
        <f t="shared" si="129"/>
        <v>3258.0752828765403</v>
      </c>
      <c r="U927" s="118">
        <f>MAX(U928:U930)</f>
        <v>7114.9292011755279</v>
      </c>
      <c r="V927" s="183">
        <f t="shared" si="131"/>
        <v>3856.8539182989875</v>
      </c>
      <c r="W927" s="183"/>
      <c r="X927" s="183"/>
      <c r="Y927" s="64" t="e">
        <f t="shared" si="132"/>
        <v>#N/A</v>
      </c>
      <c r="AA927" s="64" t="e">
        <f t="shared" si="133"/>
        <v>#N/A</v>
      </c>
      <c r="AH927" s="64" t="e">
        <f t="shared" si="134"/>
        <v>#N/A</v>
      </c>
      <c r="AS927" s="64" t="e">
        <f t="shared" si="135"/>
        <v>#N/A</v>
      </c>
    </row>
    <row r="928" spans="1:45" s="64" customFormat="1" ht="36" customHeight="1" x14ac:dyDescent="0.9">
      <c r="A928" s="64">
        <v>1</v>
      </c>
      <c r="B928" s="92">
        <f>SUBTOTAL(103,$A$548:A928)</f>
        <v>330</v>
      </c>
      <c r="C928" s="91" t="s">
        <v>193</v>
      </c>
      <c r="D928" s="126" t="s">
        <v>317</v>
      </c>
      <c r="E928" s="126"/>
      <c r="F928" s="145" t="s">
        <v>273</v>
      </c>
      <c r="G928" s="126" t="s">
        <v>311</v>
      </c>
      <c r="H928" s="126" t="s">
        <v>311</v>
      </c>
      <c r="I928" s="117">
        <v>953.3</v>
      </c>
      <c r="J928" s="117">
        <v>579.1</v>
      </c>
      <c r="K928" s="117">
        <v>542.29999999999995</v>
      </c>
      <c r="L928" s="127">
        <v>23</v>
      </c>
      <c r="M928" s="126" t="s">
        <v>271</v>
      </c>
      <c r="N928" s="126" t="s">
        <v>272</v>
      </c>
      <c r="O928" s="124" t="s">
        <v>274</v>
      </c>
      <c r="P928" s="118">
        <v>3549600</v>
      </c>
      <c r="Q928" s="118">
        <v>0</v>
      </c>
      <c r="R928" s="118">
        <v>0</v>
      </c>
      <c r="S928" s="118">
        <f>P928-Q928-R928</f>
        <v>3549600</v>
      </c>
      <c r="T928" s="118">
        <f t="shared" si="129"/>
        <v>3723.4868352040285</v>
      </c>
      <c r="U928" s="118">
        <f>Y928</f>
        <v>3812.4124619741956</v>
      </c>
      <c r="V928" s="183">
        <f t="shared" si="131"/>
        <v>88.925626770167128</v>
      </c>
      <c r="W928" s="183"/>
      <c r="X928" s="183"/>
      <c r="Y928" s="64">
        <f t="shared" si="132"/>
        <v>3812.4124619741956</v>
      </c>
      <c r="AA928" s="64">
        <f t="shared" si="133"/>
        <v>696</v>
      </c>
      <c r="AH928" s="64" t="e">
        <f t="shared" si="134"/>
        <v>#N/A</v>
      </c>
      <c r="AS928" s="64" t="e">
        <f t="shared" si="135"/>
        <v>#N/A</v>
      </c>
    </row>
    <row r="929" spans="1:45" s="64" customFormat="1" ht="36" customHeight="1" x14ac:dyDescent="0.9">
      <c r="A929" s="64">
        <v>1</v>
      </c>
      <c r="B929" s="92">
        <f>SUBTOTAL(103,$A$548:A929)</f>
        <v>331</v>
      </c>
      <c r="C929" s="91" t="s">
        <v>194</v>
      </c>
      <c r="D929" s="126" t="s">
        <v>310</v>
      </c>
      <c r="E929" s="126"/>
      <c r="F929" s="145" t="s">
        <v>273</v>
      </c>
      <c r="G929" s="126" t="s">
        <v>311</v>
      </c>
      <c r="H929" s="126" t="s">
        <v>316</v>
      </c>
      <c r="I929" s="117">
        <v>374.3</v>
      </c>
      <c r="J929" s="117">
        <v>369</v>
      </c>
      <c r="K929" s="117">
        <v>278.10000000000002</v>
      </c>
      <c r="L929" s="127">
        <v>16</v>
      </c>
      <c r="M929" s="126" t="s">
        <v>271</v>
      </c>
      <c r="N929" s="126" t="s">
        <v>272</v>
      </c>
      <c r="O929" s="124" t="s">
        <v>274</v>
      </c>
      <c r="P929" s="118">
        <v>2601000</v>
      </c>
      <c r="Q929" s="118">
        <v>0</v>
      </c>
      <c r="R929" s="118">
        <v>0</v>
      </c>
      <c r="S929" s="118">
        <f>P929-Q929-R929</f>
        <v>2601000</v>
      </c>
      <c r="T929" s="118">
        <f t="shared" ref="T929:T992" si="136">P929/I929</f>
        <v>6948.9714133048356</v>
      </c>
      <c r="U929" s="118">
        <f>Y929</f>
        <v>7114.9292011755279</v>
      </c>
      <c r="V929" s="183">
        <f t="shared" si="131"/>
        <v>165.9577878706923</v>
      </c>
      <c r="W929" s="183"/>
      <c r="X929" s="183"/>
      <c r="Y929" s="64">
        <f t="shared" si="132"/>
        <v>7114.9292011755279</v>
      </c>
      <c r="AA929" s="64">
        <f t="shared" si="133"/>
        <v>510</v>
      </c>
      <c r="AH929" s="64" t="e">
        <f t="shared" si="134"/>
        <v>#N/A</v>
      </c>
      <c r="AS929" s="64" t="e">
        <f t="shared" si="135"/>
        <v>#N/A</v>
      </c>
    </row>
    <row r="930" spans="1:45" s="64" customFormat="1" ht="36" customHeight="1" x14ac:dyDescent="0.9">
      <c r="A930" s="64">
        <v>1</v>
      </c>
      <c r="B930" s="92">
        <f>SUBTOTAL(103,$A$548:A930)</f>
        <v>332</v>
      </c>
      <c r="C930" s="91" t="s">
        <v>195</v>
      </c>
      <c r="D930" s="126" t="s">
        <v>315</v>
      </c>
      <c r="E930" s="126"/>
      <c r="F930" s="145" t="s">
        <v>326</v>
      </c>
      <c r="G930" s="126" t="s">
        <v>311</v>
      </c>
      <c r="H930" s="126" t="s">
        <v>312</v>
      </c>
      <c r="I930" s="117">
        <v>1058.5999999999999</v>
      </c>
      <c r="J930" s="117">
        <v>653.79999999999995</v>
      </c>
      <c r="K930" s="117">
        <v>608.29999999999995</v>
      </c>
      <c r="L930" s="127">
        <v>31</v>
      </c>
      <c r="M930" s="126" t="s">
        <v>271</v>
      </c>
      <c r="N930" s="126" t="s">
        <v>272</v>
      </c>
      <c r="O930" s="124" t="s">
        <v>274</v>
      </c>
      <c r="P930" s="118">
        <v>1623819.24</v>
      </c>
      <c r="Q930" s="118">
        <v>0</v>
      </c>
      <c r="R930" s="118">
        <v>0</v>
      </c>
      <c r="S930" s="118">
        <f>P930-Q930-R930</f>
        <v>1623819.24</v>
      </c>
      <c r="T930" s="118">
        <f t="shared" si="136"/>
        <v>1533.930889854525</v>
      </c>
      <c r="U930" s="118">
        <f>AG930</f>
        <v>5028.3702049556441</v>
      </c>
      <c r="V930" s="183">
        <f t="shared" si="131"/>
        <v>3494.4393151011191</v>
      </c>
      <c r="W930" s="183"/>
      <c r="X930" s="183"/>
      <c r="Y930" s="64" t="e">
        <f t="shared" si="132"/>
        <v>#N/A</v>
      </c>
      <c r="AA930" s="64" t="e">
        <f t="shared" si="133"/>
        <v>#N/A</v>
      </c>
      <c r="AG930" s="64">
        <f>AH930*6191.24/J930</f>
        <v>5028.3702049556441</v>
      </c>
      <c r="AH930" s="64">
        <f t="shared" si="134"/>
        <v>531</v>
      </c>
      <c r="AS930" s="64" t="e">
        <f t="shared" si="135"/>
        <v>#N/A</v>
      </c>
    </row>
    <row r="931" spans="1:45" s="64" customFormat="1" ht="36" customHeight="1" x14ac:dyDescent="0.9">
      <c r="B931" s="91" t="s">
        <v>885</v>
      </c>
      <c r="C931" s="91"/>
      <c r="D931" s="126" t="s">
        <v>916</v>
      </c>
      <c r="E931" s="126" t="s">
        <v>916</v>
      </c>
      <c r="F931" s="126" t="s">
        <v>916</v>
      </c>
      <c r="G931" s="126" t="s">
        <v>916</v>
      </c>
      <c r="H931" s="126" t="s">
        <v>916</v>
      </c>
      <c r="I931" s="117">
        <f>I932</f>
        <v>834.7</v>
      </c>
      <c r="J931" s="117">
        <f>J932</f>
        <v>476.3</v>
      </c>
      <c r="K931" s="117">
        <f>K932</f>
        <v>476.3</v>
      </c>
      <c r="L931" s="127">
        <f>L932</f>
        <v>54</v>
      </c>
      <c r="M931" s="126" t="s">
        <v>916</v>
      </c>
      <c r="N931" s="126" t="s">
        <v>916</v>
      </c>
      <c r="O931" s="124" t="s">
        <v>916</v>
      </c>
      <c r="P931" s="118">
        <v>4275483</v>
      </c>
      <c r="Q931" s="118">
        <f>Q932</f>
        <v>0</v>
      </c>
      <c r="R931" s="118">
        <f>R932</f>
        <v>0</v>
      </c>
      <c r="S931" s="118">
        <f>S932</f>
        <v>4275483</v>
      </c>
      <c r="T931" s="118">
        <f t="shared" si="136"/>
        <v>5122.1792260692464</v>
      </c>
      <c r="U931" s="118">
        <f>U932</f>
        <v>5244.5089181741951</v>
      </c>
      <c r="V931" s="183">
        <f t="shared" si="131"/>
        <v>122.32969210494866</v>
      </c>
      <c r="W931" s="183"/>
      <c r="X931" s="183"/>
      <c r="Y931" s="64" t="e">
        <f t="shared" si="132"/>
        <v>#N/A</v>
      </c>
      <c r="AA931" s="64" t="e">
        <f t="shared" si="133"/>
        <v>#N/A</v>
      </c>
      <c r="AH931" s="64" t="e">
        <f t="shared" si="134"/>
        <v>#N/A</v>
      </c>
      <c r="AS931" s="64" t="e">
        <f t="shared" si="135"/>
        <v>#N/A</v>
      </c>
    </row>
    <row r="932" spans="1:45" s="64" customFormat="1" ht="36" customHeight="1" x14ac:dyDescent="0.9">
      <c r="A932" s="64">
        <v>1</v>
      </c>
      <c r="B932" s="92">
        <f>SUBTOTAL(103,$A$548:A932)</f>
        <v>333</v>
      </c>
      <c r="C932" s="91" t="s">
        <v>197</v>
      </c>
      <c r="D932" s="126" t="s">
        <v>318</v>
      </c>
      <c r="E932" s="126"/>
      <c r="F932" s="145" t="s">
        <v>319</v>
      </c>
      <c r="G932" s="126" t="s">
        <v>311</v>
      </c>
      <c r="H932" s="126" t="s">
        <v>320</v>
      </c>
      <c r="I932" s="117">
        <v>834.7</v>
      </c>
      <c r="J932" s="117">
        <v>476.3</v>
      </c>
      <c r="K932" s="117">
        <v>476.3</v>
      </c>
      <c r="L932" s="127">
        <v>54</v>
      </c>
      <c r="M932" s="126" t="s">
        <v>271</v>
      </c>
      <c r="N932" s="126" t="s">
        <v>272</v>
      </c>
      <c r="O932" s="124" t="s">
        <v>274</v>
      </c>
      <c r="P932" s="118">
        <v>4275483</v>
      </c>
      <c r="Q932" s="118">
        <v>0</v>
      </c>
      <c r="R932" s="118">
        <v>0</v>
      </c>
      <c r="S932" s="118">
        <f>P932-Q932-R932</f>
        <v>4275483</v>
      </c>
      <c r="T932" s="118">
        <f t="shared" si="136"/>
        <v>5122.1792260692464</v>
      </c>
      <c r="U932" s="118">
        <f>Y932</f>
        <v>5244.5089181741951</v>
      </c>
      <c r="V932" s="183">
        <f t="shared" si="131"/>
        <v>122.32969210494866</v>
      </c>
      <c r="W932" s="183"/>
      <c r="X932" s="183"/>
      <c r="Y932" s="64">
        <f t="shared" si="132"/>
        <v>5244.5089181741951</v>
      </c>
      <c r="AA932" s="64">
        <f t="shared" si="133"/>
        <v>838.33</v>
      </c>
      <c r="AH932" s="64" t="e">
        <f t="shared" si="134"/>
        <v>#N/A</v>
      </c>
      <c r="AS932" s="64" t="e">
        <f t="shared" si="135"/>
        <v>#N/A</v>
      </c>
    </row>
    <row r="933" spans="1:45" s="64" customFormat="1" ht="36" customHeight="1" x14ac:dyDescent="0.9">
      <c r="B933" s="91" t="s">
        <v>887</v>
      </c>
      <c r="C933" s="172"/>
      <c r="D933" s="126" t="s">
        <v>916</v>
      </c>
      <c r="E933" s="126" t="s">
        <v>916</v>
      </c>
      <c r="F933" s="126" t="s">
        <v>916</v>
      </c>
      <c r="G933" s="126" t="s">
        <v>916</v>
      </c>
      <c r="H933" s="126" t="s">
        <v>916</v>
      </c>
      <c r="I933" s="117">
        <f>I934+I935</f>
        <v>2424.8000000000002</v>
      </c>
      <c r="J933" s="117">
        <f>J934+J935</f>
        <v>2129.6</v>
      </c>
      <c r="K933" s="117">
        <f>K934+K935</f>
        <v>1714.8000000000002</v>
      </c>
      <c r="L933" s="127">
        <f>L934+L935</f>
        <v>86</v>
      </c>
      <c r="M933" s="126" t="s">
        <v>916</v>
      </c>
      <c r="N933" s="126" t="s">
        <v>916</v>
      </c>
      <c r="O933" s="124" t="s">
        <v>916</v>
      </c>
      <c r="P933" s="118">
        <v>9113700</v>
      </c>
      <c r="Q933" s="118">
        <f>Q934+Q935</f>
        <v>0</v>
      </c>
      <c r="R933" s="118">
        <f>R934+R935</f>
        <v>0</v>
      </c>
      <c r="S933" s="118">
        <f>S934+S935</f>
        <v>9113700</v>
      </c>
      <c r="T933" s="118">
        <f t="shared" si="136"/>
        <v>3758.5367865390958</v>
      </c>
      <c r="U933" s="118">
        <f>MAX(U934:U935)</f>
        <v>4068.2113127001066</v>
      </c>
      <c r="V933" s="183">
        <f t="shared" si="131"/>
        <v>309.67452616101082</v>
      </c>
      <c r="W933" s="183"/>
      <c r="X933" s="183"/>
      <c r="Y933" s="64" t="e">
        <f t="shared" si="132"/>
        <v>#N/A</v>
      </c>
      <c r="AA933" s="64" t="e">
        <f t="shared" si="133"/>
        <v>#N/A</v>
      </c>
      <c r="AH933" s="64" t="e">
        <f t="shared" si="134"/>
        <v>#N/A</v>
      </c>
      <c r="AS933" s="64" t="e">
        <f t="shared" si="135"/>
        <v>#N/A</v>
      </c>
    </row>
    <row r="934" spans="1:45" s="64" customFormat="1" ht="36" customHeight="1" x14ac:dyDescent="0.9">
      <c r="A934" s="64">
        <v>1</v>
      </c>
      <c r="B934" s="92">
        <f>SUBTOTAL(103,$A$548:A934)</f>
        <v>334</v>
      </c>
      <c r="C934" s="91" t="s">
        <v>216</v>
      </c>
      <c r="D934" s="126">
        <v>1938</v>
      </c>
      <c r="E934" s="126"/>
      <c r="F934" s="145" t="s">
        <v>273</v>
      </c>
      <c r="G934" s="126">
        <v>3</v>
      </c>
      <c r="H934" s="126">
        <v>4</v>
      </c>
      <c r="I934" s="117">
        <v>1675.2</v>
      </c>
      <c r="J934" s="117">
        <v>1444.2</v>
      </c>
      <c r="K934" s="117">
        <v>1029.4000000000001</v>
      </c>
      <c r="L934" s="127">
        <v>57</v>
      </c>
      <c r="M934" s="126" t="s">
        <v>271</v>
      </c>
      <c r="N934" s="126" t="s">
        <v>272</v>
      </c>
      <c r="O934" s="124" t="s">
        <v>274</v>
      </c>
      <c r="P934" s="118">
        <v>6135300</v>
      </c>
      <c r="Q934" s="118">
        <v>0</v>
      </c>
      <c r="R934" s="118">
        <v>0</v>
      </c>
      <c r="S934" s="118">
        <f>P934-Q934-R934</f>
        <v>6135300</v>
      </c>
      <c r="T934" s="118">
        <f t="shared" si="136"/>
        <v>3662.4283667621776</v>
      </c>
      <c r="U934" s="118">
        <f>Y934</f>
        <v>3749.8957736389684</v>
      </c>
      <c r="V934" s="183">
        <f t="shared" si="131"/>
        <v>87.467406876790847</v>
      </c>
      <c r="W934" s="183"/>
      <c r="X934" s="183"/>
      <c r="Y934" s="64">
        <f t="shared" si="132"/>
        <v>3749.8957736389684</v>
      </c>
      <c r="AA934" s="64">
        <f t="shared" si="133"/>
        <v>1203</v>
      </c>
      <c r="AH934" s="64" t="e">
        <f t="shared" si="134"/>
        <v>#N/A</v>
      </c>
      <c r="AS934" s="64" t="e">
        <f t="shared" si="135"/>
        <v>#N/A</v>
      </c>
    </row>
    <row r="935" spans="1:45" s="64" customFormat="1" ht="36" customHeight="1" x14ac:dyDescent="0.9">
      <c r="A935" s="64">
        <v>1</v>
      </c>
      <c r="B935" s="92">
        <f>SUBTOTAL(103,$A$548:A935)</f>
        <v>335</v>
      </c>
      <c r="C935" s="91" t="s">
        <v>217</v>
      </c>
      <c r="D935" s="126">
        <v>1974</v>
      </c>
      <c r="E935" s="126"/>
      <c r="F935" s="145" t="s">
        <v>273</v>
      </c>
      <c r="G935" s="126">
        <v>2</v>
      </c>
      <c r="H935" s="126">
        <v>2</v>
      </c>
      <c r="I935" s="117">
        <v>749.6</v>
      </c>
      <c r="J935" s="117">
        <v>685.4</v>
      </c>
      <c r="K935" s="117">
        <v>685.4</v>
      </c>
      <c r="L935" s="127">
        <v>29</v>
      </c>
      <c r="M935" s="126" t="s">
        <v>271</v>
      </c>
      <c r="N935" s="126" t="s">
        <v>275</v>
      </c>
      <c r="O935" s="124" t="s">
        <v>340</v>
      </c>
      <c r="P935" s="118">
        <v>2978400</v>
      </c>
      <c r="Q935" s="118">
        <v>0</v>
      </c>
      <c r="R935" s="118">
        <v>0</v>
      </c>
      <c r="S935" s="118">
        <f>P935-Q935-R935</f>
        <v>2978400</v>
      </c>
      <c r="T935" s="118">
        <f t="shared" si="136"/>
        <v>3973.3191035218783</v>
      </c>
      <c r="U935" s="118">
        <f>Y935</f>
        <v>4068.2113127001066</v>
      </c>
      <c r="V935" s="183">
        <f t="shared" si="131"/>
        <v>94.892209178228313</v>
      </c>
      <c r="W935" s="183"/>
      <c r="X935" s="183"/>
      <c r="Y935" s="64">
        <f t="shared" si="132"/>
        <v>4068.2113127001066</v>
      </c>
      <c r="AA935" s="64">
        <f t="shared" si="133"/>
        <v>584</v>
      </c>
      <c r="AH935" s="64" t="e">
        <f t="shared" si="134"/>
        <v>#N/A</v>
      </c>
      <c r="AS935" s="64" t="e">
        <f t="shared" si="135"/>
        <v>#N/A</v>
      </c>
    </row>
    <row r="936" spans="1:45" s="64" customFormat="1" ht="36" customHeight="1" x14ac:dyDescent="0.9">
      <c r="B936" s="91" t="s">
        <v>888</v>
      </c>
      <c r="C936" s="91"/>
      <c r="D936" s="126" t="s">
        <v>916</v>
      </c>
      <c r="E936" s="126" t="s">
        <v>916</v>
      </c>
      <c r="F936" s="126" t="s">
        <v>916</v>
      </c>
      <c r="G936" s="126" t="s">
        <v>916</v>
      </c>
      <c r="H936" s="126" t="s">
        <v>916</v>
      </c>
      <c r="I936" s="117">
        <f>I937</f>
        <v>813.6</v>
      </c>
      <c r="J936" s="117">
        <f>J937</f>
        <v>752.3</v>
      </c>
      <c r="K936" s="117">
        <f>K937</f>
        <v>752.3</v>
      </c>
      <c r="L936" s="127">
        <f>L937</f>
        <v>16</v>
      </c>
      <c r="M936" s="126" t="s">
        <v>916</v>
      </c>
      <c r="N936" s="126" t="s">
        <v>916</v>
      </c>
      <c r="O936" s="124" t="s">
        <v>916</v>
      </c>
      <c r="P936" s="118">
        <v>3498600</v>
      </c>
      <c r="Q936" s="118">
        <f>Q937</f>
        <v>0</v>
      </c>
      <c r="R936" s="118">
        <f>R937</f>
        <v>0</v>
      </c>
      <c r="S936" s="118">
        <f>S937</f>
        <v>3498600</v>
      </c>
      <c r="T936" s="118">
        <f t="shared" si="136"/>
        <v>4300.1474926253686</v>
      </c>
      <c r="U936" s="118">
        <f>U937</f>
        <v>4402.8451327433631</v>
      </c>
      <c r="V936" s="183">
        <f t="shared" si="131"/>
        <v>102.69764011799452</v>
      </c>
      <c r="W936" s="183"/>
      <c r="X936" s="183"/>
      <c r="Y936" s="64" t="e">
        <f t="shared" si="132"/>
        <v>#N/A</v>
      </c>
      <c r="AA936" s="64" t="e">
        <f t="shared" si="133"/>
        <v>#N/A</v>
      </c>
      <c r="AH936" s="64" t="e">
        <f t="shared" si="134"/>
        <v>#N/A</v>
      </c>
      <c r="AS936" s="64" t="e">
        <f t="shared" si="135"/>
        <v>#N/A</v>
      </c>
    </row>
    <row r="937" spans="1:45" s="64" customFormat="1" ht="36" customHeight="1" x14ac:dyDescent="0.9">
      <c r="A937" s="64">
        <v>1</v>
      </c>
      <c r="B937" s="92">
        <f>SUBTOTAL(103,$A$548:A937)</f>
        <v>336</v>
      </c>
      <c r="C937" s="91" t="s">
        <v>229</v>
      </c>
      <c r="D937" s="126">
        <v>1973</v>
      </c>
      <c r="E937" s="126"/>
      <c r="F937" s="145" t="s">
        <v>273</v>
      </c>
      <c r="G937" s="126">
        <v>2</v>
      </c>
      <c r="H937" s="126">
        <v>2</v>
      </c>
      <c r="I937" s="117">
        <v>813.6</v>
      </c>
      <c r="J937" s="117">
        <v>752.3</v>
      </c>
      <c r="K937" s="117">
        <v>752.3</v>
      </c>
      <c r="L937" s="127">
        <v>16</v>
      </c>
      <c r="M937" s="126" t="s">
        <v>271</v>
      </c>
      <c r="N937" s="126" t="s">
        <v>272</v>
      </c>
      <c r="O937" s="124" t="s">
        <v>274</v>
      </c>
      <c r="P937" s="118">
        <v>3498600</v>
      </c>
      <c r="Q937" s="118">
        <v>0</v>
      </c>
      <c r="R937" s="118">
        <v>0</v>
      </c>
      <c r="S937" s="118">
        <f>P937-Q937-R937</f>
        <v>3498600</v>
      </c>
      <c r="T937" s="118">
        <f t="shared" si="136"/>
        <v>4300.1474926253686</v>
      </c>
      <c r="U937" s="118">
        <f>Y937</f>
        <v>4402.8451327433631</v>
      </c>
      <c r="V937" s="183">
        <f t="shared" si="131"/>
        <v>102.69764011799452</v>
      </c>
      <c r="W937" s="183"/>
      <c r="X937" s="183"/>
      <c r="Y937" s="64">
        <f t="shared" si="132"/>
        <v>4402.8451327433631</v>
      </c>
      <c r="AA937" s="64">
        <f t="shared" si="133"/>
        <v>686</v>
      </c>
      <c r="AH937" s="64" t="e">
        <f t="shared" si="134"/>
        <v>#N/A</v>
      </c>
      <c r="AS937" s="64" t="e">
        <f t="shared" si="135"/>
        <v>#N/A</v>
      </c>
    </row>
    <row r="938" spans="1:45" s="64" customFormat="1" ht="36" customHeight="1" x14ac:dyDescent="0.9">
      <c r="B938" s="91" t="s">
        <v>890</v>
      </c>
      <c r="C938" s="91"/>
      <c r="D938" s="126" t="s">
        <v>916</v>
      </c>
      <c r="E938" s="126" t="s">
        <v>916</v>
      </c>
      <c r="F938" s="126" t="s">
        <v>916</v>
      </c>
      <c r="G938" s="126" t="s">
        <v>916</v>
      </c>
      <c r="H938" s="126" t="s">
        <v>916</v>
      </c>
      <c r="I938" s="117">
        <f>I939</f>
        <v>791.9</v>
      </c>
      <c r="J938" s="117">
        <f>J939</f>
        <v>736.9</v>
      </c>
      <c r="K938" s="117">
        <f>K939</f>
        <v>695.3</v>
      </c>
      <c r="L938" s="127">
        <f>L939</f>
        <v>22</v>
      </c>
      <c r="M938" s="126" t="s">
        <v>916</v>
      </c>
      <c r="N938" s="126" t="s">
        <v>916</v>
      </c>
      <c r="O938" s="124" t="s">
        <v>916</v>
      </c>
      <c r="P938" s="118">
        <v>3230340</v>
      </c>
      <c r="Q938" s="118">
        <f>Q939</f>
        <v>0</v>
      </c>
      <c r="R938" s="118">
        <f>R939</f>
        <v>0</v>
      </c>
      <c r="S938" s="118">
        <f>S939</f>
        <v>3230340</v>
      </c>
      <c r="T938" s="118">
        <f t="shared" si="136"/>
        <v>4079.2271751483772</v>
      </c>
      <c r="U938" s="118">
        <f>U939</f>
        <v>4176.6487182725095</v>
      </c>
      <c r="V938" s="183">
        <f t="shared" si="131"/>
        <v>97.421543124132313</v>
      </c>
      <c r="W938" s="183"/>
      <c r="X938" s="183"/>
      <c r="Y938" s="64" t="e">
        <f t="shared" si="132"/>
        <v>#N/A</v>
      </c>
      <c r="AA938" s="64" t="e">
        <f t="shared" si="133"/>
        <v>#N/A</v>
      </c>
      <c r="AH938" s="64" t="e">
        <f t="shared" si="134"/>
        <v>#N/A</v>
      </c>
      <c r="AS938" s="64" t="e">
        <f t="shared" si="135"/>
        <v>#N/A</v>
      </c>
    </row>
    <row r="939" spans="1:45" s="64" customFormat="1" ht="36" customHeight="1" x14ac:dyDescent="0.9">
      <c r="A939" s="64">
        <v>1</v>
      </c>
      <c r="B939" s="92">
        <f>SUBTOTAL(103,$A$548:A939)</f>
        <v>337</v>
      </c>
      <c r="C939" s="91" t="s">
        <v>223</v>
      </c>
      <c r="D939" s="126">
        <v>1979</v>
      </c>
      <c r="E939" s="126"/>
      <c r="F939" s="145" t="s">
        <v>273</v>
      </c>
      <c r="G939" s="126">
        <v>2</v>
      </c>
      <c r="H939" s="126">
        <v>2</v>
      </c>
      <c r="I939" s="117">
        <v>791.9</v>
      </c>
      <c r="J939" s="117">
        <v>736.9</v>
      </c>
      <c r="K939" s="117">
        <v>695.3</v>
      </c>
      <c r="L939" s="127">
        <v>22</v>
      </c>
      <c r="M939" s="126" t="s">
        <v>271</v>
      </c>
      <c r="N939" s="126" t="s">
        <v>272</v>
      </c>
      <c r="O939" s="124" t="s">
        <v>274</v>
      </c>
      <c r="P939" s="118">
        <v>3230340</v>
      </c>
      <c r="Q939" s="118">
        <v>0</v>
      </c>
      <c r="R939" s="118">
        <v>0</v>
      </c>
      <c r="S939" s="118">
        <f>P939-Q939-R939</f>
        <v>3230340</v>
      </c>
      <c r="T939" s="118">
        <f t="shared" si="136"/>
        <v>4079.2271751483772</v>
      </c>
      <c r="U939" s="118">
        <f>Y939</f>
        <v>4176.6487182725095</v>
      </c>
      <c r="V939" s="183">
        <f t="shared" si="131"/>
        <v>97.421543124132313</v>
      </c>
      <c r="W939" s="183"/>
      <c r="X939" s="183"/>
      <c r="Y939" s="64">
        <f t="shared" si="132"/>
        <v>4176.6487182725095</v>
      </c>
      <c r="AA939" s="64">
        <f t="shared" si="133"/>
        <v>633.4</v>
      </c>
      <c r="AH939" s="64" t="e">
        <f t="shared" si="134"/>
        <v>#N/A</v>
      </c>
      <c r="AS939" s="64" t="e">
        <f t="shared" si="135"/>
        <v>#N/A</v>
      </c>
    </row>
    <row r="940" spans="1:45" s="64" customFormat="1" ht="36" customHeight="1" x14ac:dyDescent="0.9">
      <c r="B940" s="91" t="s">
        <v>780</v>
      </c>
      <c r="C940" s="170"/>
      <c r="D940" s="126" t="s">
        <v>916</v>
      </c>
      <c r="E940" s="126" t="s">
        <v>916</v>
      </c>
      <c r="F940" s="126" t="s">
        <v>916</v>
      </c>
      <c r="G940" s="126" t="s">
        <v>916</v>
      </c>
      <c r="H940" s="126" t="s">
        <v>916</v>
      </c>
      <c r="I940" s="117">
        <f>I941+I1001+I1016+I1044+I1056+I1059+I1068+I1072+I1075+I1078+I1080+I1082+I1085+I1087+I1089+I1097+I1100+I1102+I1104+I1106+I1108+I1111+I1113+I1115+I1117+I1124+I1127+I1131+I1134+I1136+I1140+I1142+I1144+I1146+I1148+I1150+I1152+I1156+I1158+I1160+I1162+I1166+I1168+I1170+I1172+I1175+I1178+I1182+I1187+I1190+I1192+I1194+I1197+I1201+I1203+I1205+I1207+I1211</f>
        <v>517144.36000000004</v>
      </c>
      <c r="J940" s="117">
        <f>J941+J1001+J1016+J1044+J1056+J1059+J1068+J1072+J1075+J1078+J1080+J1082+J1085+J1087+J1089+J1097+J1100+J1102+J1104+J1106+J1108+J1111+J1113+J1115+J1117+J1124+J1127+J1131+J1134+J1136+J1140+J1142+J1144+J1146+J1148+J1150+J1152+J1156+J1158+J1160+J1162+J1166+J1168+J1170+J1172+J1175+J1178+J1182+J1187+J1190+J1192+J1194+J1197+J1201+J1203+J1205+J1207+J1211</f>
        <v>443159.98999999987</v>
      </c>
      <c r="K940" s="117">
        <f>K941+K1001+K1016+K1044+K1056+K1059+K1068+K1072+K1075+K1078+K1080+K1082+K1085+K1087+K1089+K1097+K1100+K1102+K1104+K1106+K1108+K1111+K1113+K1115+K1117+K1124+K1127+K1131+K1134+K1136+K1140+K1142+K1144+K1146+K1148+K1150+K1152+K1156+K1158+K1160+K1162+K1166+K1168+K1170+K1172+K1175+K1178+K1182+K1187+K1190+K1192+K1194+K1197+K1201+K1203+K1205+K1207+K1211</f>
        <v>372345.30999999988</v>
      </c>
      <c r="L940" s="127">
        <f>L941+L1001+L1016+L1044+L1056+L1059+L1068+L1072+L1075+L1078+L1080+L1082+L1085+L1087+L1089+L1097+L1100+L1102+L1104+L1106+L1108+L1111+L1113+L1115+L1117+L1124+L1127+L1131+L1134+L1136+L1140+L1142+L1144+L1146+L1148+L1150+L1152+L1156+L1158+L1160+L1162+L1166+L1168+L1170+L1172+L1175+L1178+L1182+L1187+L1190+L1192+L1194+L1197+L1201+L1203+L1205+L1207+L1211</f>
        <v>19617</v>
      </c>
      <c r="M940" s="126" t="s">
        <v>916</v>
      </c>
      <c r="N940" s="126" t="s">
        <v>916</v>
      </c>
      <c r="O940" s="124" t="s">
        <v>916</v>
      </c>
      <c r="P940" s="117">
        <v>791169161.75000012</v>
      </c>
      <c r="Q940" s="117">
        <f>Q941+Q1001+Q1016+Q1044+Q1056+Q1059+Q1068+Q1072+Q1075+Q1078+Q1080+Q1082+Q1085+Q1087+Q1089+Q1097+Q1100+Q1102+Q1104+Q1106+Q1108+Q1111+Q1113+Q1115+Q1117+Q1124+Q1127+Q1131+Q1134+Q1136+Q1140+Q1142+Q1144+Q1146+Q1148+Q1150+Q1152+Q1156+Q1158+Q1160+Q1162+Q1166+Q1168+Q1170+Q1172+Q1175+Q1178+Q1182+Q1187+Q1190+Q1192+Q1194+Q1197+Q1201+Q1203+Q1205+Q1207+Q1211</f>
        <v>0</v>
      </c>
      <c r="R940" s="117">
        <f>R941+R1001+R1016+R1044+R1056+R1059+R1068+R1072+R1075+R1078+R1080+R1082+R1085+R1087+R1089+R1097+R1100+R1102+R1104+R1106+R1108+R1111+R1113+R1115+R1117+R1124+R1127+R1131+R1134+R1136+R1140+R1142+R1144+R1146+R1148+R1150+R1152+R1156+R1158+R1160+R1162+R1166+R1168+R1170+R1172+R1175+R1178+R1182+R1187+R1190+R1192+R1194+R1197+R1201+R1203+R1205+R1207+R1211</f>
        <v>1851570.68</v>
      </c>
      <c r="S940" s="117">
        <f>S941+S1001+S1016+S1044+S1056+S1059+S1068+S1072+S1075+S1078+S1080+S1082+S1085+S1087+S1089+S1097+S1100+S1102+S1104+S1106+S1108+S1111+S1113+S1115+S1117+S1124+S1127+S1131+S1134+S1136+S1140+S1142+S1144+S1146+S1148+S1150+S1152+S1156+S1158+S1160+S1162+S1166+S1168+S1170+S1172+S1175+S1178+S1182+S1187+S1190+S1192+S1194+S1197+S1201+S1203+S1205+S1207+S1211</f>
        <v>789317591.07000017</v>
      </c>
      <c r="T940" s="118">
        <f t="shared" si="136"/>
        <v>1529.8806734545071</v>
      </c>
      <c r="U940" s="118">
        <f>MAX(U941:U1212)</f>
        <v>27692.673949579832</v>
      </c>
      <c r="V940" s="183">
        <f t="shared" si="131"/>
        <v>26162.793276125325</v>
      </c>
      <c r="W940" s="183"/>
      <c r="X940" s="183"/>
      <c r="Y940" s="64" t="e">
        <f t="shared" si="132"/>
        <v>#N/A</v>
      </c>
      <c r="AA940" s="64" t="e">
        <f t="shared" si="133"/>
        <v>#N/A</v>
      </c>
      <c r="AH940" s="64" t="e">
        <f t="shared" si="134"/>
        <v>#N/A</v>
      </c>
      <c r="AS940" s="64" t="e">
        <f t="shared" si="135"/>
        <v>#N/A</v>
      </c>
    </row>
    <row r="941" spans="1:45" s="64" customFormat="1" ht="36" customHeight="1" x14ac:dyDescent="0.9">
      <c r="B941" s="91" t="s">
        <v>1119</v>
      </c>
      <c r="C941" s="172"/>
      <c r="D941" s="126" t="s">
        <v>916</v>
      </c>
      <c r="E941" s="126" t="s">
        <v>916</v>
      </c>
      <c r="F941" s="126" t="s">
        <v>916</v>
      </c>
      <c r="G941" s="126" t="s">
        <v>916</v>
      </c>
      <c r="H941" s="126" t="s">
        <v>916</v>
      </c>
      <c r="I941" s="117">
        <f>SUM(I942:I1000)</f>
        <v>202528.28999999998</v>
      </c>
      <c r="J941" s="117">
        <f>SUM(J942:J1000)</f>
        <v>196193.47</v>
      </c>
      <c r="K941" s="117">
        <f>SUM(K942:K1000)</f>
        <v>147654.19999999995</v>
      </c>
      <c r="L941" s="127">
        <f>SUM(L942:L1000)</f>
        <v>8065</v>
      </c>
      <c r="M941" s="126" t="s">
        <v>916</v>
      </c>
      <c r="N941" s="126" t="s">
        <v>916</v>
      </c>
      <c r="O941" s="124" t="s">
        <v>916</v>
      </c>
      <c r="P941" s="117">
        <v>216853215.43000004</v>
      </c>
      <c r="Q941" s="117">
        <f>SUM(Q942:Q1000)</f>
        <v>0</v>
      </c>
      <c r="R941" s="117">
        <f>SUM(R942:R1000)</f>
        <v>0</v>
      </c>
      <c r="S941" s="117">
        <f>SUM(S942:S1000)</f>
        <v>216853215.43000004</v>
      </c>
      <c r="T941" s="118">
        <f t="shared" si="136"/>
        <v>1070.7304911822446</v>
      </c>
      <c r="U941" s="118">
        <f>MAX(U942:U999)</f>
        <v>6475.5598989048021</v>
      </c>
      <c r="V941" s="183">
        <f t="shared" si="131"/>
        <v>5404.8294077225573</v>
      </c>
      <c r="W941" s="183"/>
      <c r="X941" s="183"/>
      <c r="Y941" s="64" t="e">
        <f t="shared" si="132"/>
        <v>#N/A</v>
      </c>
      <c r="AA941" s="64" t="e">
        <f t="shared" si="133"/>
        <v>#N/A</v>
      </c>
      <c r="AH941" s="64" t="e">
        <f t="shared" si="134"/>
        <v>#N/A</v>
      </c>
      <c r="AS941" s="64" t="e">
        <f t="shared" si="135"/>
        <v>#N/A</v>
      </c>
    </row>
    <row r="942" spans="1:45" s="64" customFormat="1" ht="36" customHeight="1" x14ac:dyDescent="0.9">
      <c r="A942" s="64">
        <v>1</v>
      </c>
      <c r="B942" s="92">
        <f>SUBTOTAL(103,$A942:A$942)</f>
        <v>1</v>
      </c>
      <c r="C942" s="91" t="s">
        <v>580</v>
      </c>
      <c r="D942" s="126">
        <v>1958</v>
      </c>
      <c r="E942" s="126"/>
      <c r="F942" s="145" t="s">
        <v>273</v>
      </c>
      <c r="G942" s="126">
        <v>2</v>
      </c>
      <c r="H942" s="126">
        <v>2</v>
      </c>
      <c r="I942" s="117">
        <v>593.5</v>
      </c>
      <c r="J942" s="117">
        <v>548.79999999999995</v>
      </c>
      <c r="K942" s="117">
        <v>511.1</v>
      </c>
      <c r="L942" s="127">
        <v>26</v>
      </c>
      <c r="M942" s="126" t="s">
        <v>271</v>
      </c>
      <c r="N942" s="126" t="s">
        <v>275</v>
      </c>
      <c r="O942" s="124" t="s">
        <v>1413</v>
      </c>
      <c r="P942" s="118">
        <v>3147713.25</v>
      </c>
      <c r="Q942" s="118">
        <v>0</v>
      </c>
      <c r="R942" s="118">
        <v>0</v>
      </c>
      <c r="S942" s="118">
        <f t="shared" ref="S942:S1000" si="137">P942-Q942-R942</f>
        <v>3147713.25</v>
      </c>
      <c r="T942" s="118">
        <f t="shared" si="136"/>
        <v>5303.6449031171023</v>
      </c>
      <c r="U942" s="118">
        <f t="shared" ref="U942:U966" si="138">Y942</f>
        <v>6475.5598989048021</v>
      </c>
      <c r="V942" s="183">
        <f t="shared" si="131"/>
        <v>1171.9149957876998</v>
      </c>
      <c r="W942" s="183"/>
      <c r="X942" s="183"/>
      <c r="Y942" s="64">
        <f t="shared" si="132"/>
        <v>6475.5598989048021</v>
      </c>
      <c r="AA942" s="64">
        <f t="shared" si="133"/>
        <v>736</v>
      </c>
      <c r="AH942" s="64" t="e">
        <f t="shared" si="134"/>
        <v>#N/A</v>
      </c>
      <c r="AS942" s="64" t="e">
        <f t="shared" si="135"/>
        <v>#N/A</v>
      </c>
    </row>
    <row r="943" spans="1:45" s="64" customFormat="1" ht="36" customHeight="1" x14ac:dyDescent="0.9">
      <c r="A943" s="64">
        <v>1</v>
      </c>
      <c r="B943" s="92">
        <f>SUBTOTAL(103,$A$942:A943)</f>
        <v>2</v>
      </c>
      <c r="C943" s="91" t="s">
        <v>581</v>
      </c>
      <c r="D943" s="126" t="s">
        <v>317</v>
      </c>
      <c r="E943" s="126"/>
      <c r="F943" s="145" t="s">
        <v>273</v>
      </c>
      <c r="G943" s="126" t="s">
        <v>360</v>
      </c>
      <c r="H943" s="126">
        <v>1</v>
      </c>
      <c r="I943" s="117">
        <v>835.6</v>
      </c>
      <c r="J943" s="117">
        <v>606.6</v>
      </c>
      <c r="K943" s="117">
        <v>287.10000000000002</v>
      </c>
      <c r="L943" s="127">
        <v>17</v>
      </c>
      <c r="M943" s="126" t="s">
        <v>271</v>
      </c>
      <c r="N943" s="126" t="s">
        <v>275</v>
      </c>
      <c r="O943" s="124" t="s">
        <v>1702</v>
      </c>
      <c r="P943" s="118">
        <v>1023224.5700000001</v>
      </c>
      <c r="Q943" s="118">
        <v>0</v>
      </c>
      <c r="R943" s="118">
        <v>0</v>
      </c>
      <c r="S943" s="118">
        <f t="shared" si="137"/>
        <v>1023224.5700000001</v>
      </c>
      <c r="T943" s="118">
        <f t="shared" si="136"/>
        <v>1224.5387386309239</v>
      </c>
      <c r="U943" s="118">
        <f t="shared" si="138"/>
        <v>1437.3073240785063</v>
      </c>
      <c r="V943" s="183">
        <f t="shared" si="131"/>
        <v>212.76858544758238</v>
      </c>
      <c r="W943" s="183"/>
      <c r="X943" s="183"/>
      <c r="Y943" s="64">
        <f t="shared" si="132"/>
        <v>1437.3073240785063</v>
      </c>
      <c r="AA943" s="64">
        <f t="shared" si="133"/>
        <v>230</v>
      </c>
      <c r="AH943" s="64" t="e">
        <f t="shared" si="134"/>
        <v>#N/A</v>
      </c>
      <c r="AS943" s="64" t="e">
        <f t="shared" si="135"/>
        <v>#N/A</v>
      </c>
    </row>
    <row r="944" spans="1:45" s="64" customFormat="1" ht="36" customHeight="1" x14ac:dyDescent="0.9">
      <c r="A944" s="64">
        <v>1</v>
      </c>
      <c r="B944" s="92">
        <f>SUBTOTAL(103,$A$942:A944)</f>
        <v>3</v>
      </c>
      <c r="C944" s="91" t="s">
        <v>1096</v>
      </c>
      <c r="D944" s="126">
        <v>1962</v>
      </c>
      <c r="E944" s="126"/>
      <c r="F944" s="145" t="s">
        <v>273</v>
      </c>
      <c r="G944" s="126">
        <v>3</v>
      </c>
      <c r="H944" s="126">
        <v>2</v>
      </c>
      <c r="I944" s="117">
        <v>970.2</v>
      </c>
      <c r="J944" s="117">
        <v>615</v>
      </c>
      <c r="K944" s="117">
        <v>615</v>
      </c>
      <c r="L944" s="127">
        <v>60</v>
      </c>
      <c r="M944" s="126" t="s">
        <v>271</v>
      </c>
      <c r="N944" s="126" t="s">
        <v>275</v>
      </c>
      <c r="O944" s="124" t="s">
        <v>1700</v>
      </c>
      <c r="P944" s="118">
        <v>2100000</v>
      </c>
      <c r="Q944" s="118">
        <v>0</v>
      </c>
      <c r="R944" s="118">
        <v>0</v>
      </c>
      <c r="S944" s="118">
        <f t="shared" si="137"/>
        <v>2100000</v>
      </c>
      <c r="T944" s="118">
        <f t="shared" si="136"/>
        <v>2164.5021645021643</v>
      </c>
      <c r="U944" s="118">
        <f t="shared" si="138"/>
        <v>2217.4619666048238</v>
      </c>
      <c r="V944" s="183">
        <f t="shared" si="131"/>
        <v>52.959802102659523</v>
      </c>
      <c r="W944" s="183"/>
      <c r="X944" s="183"/>
      <c r="Y944" s="64">
        <f t="shared" si="132"/>
        <v>2217.4619666048238</v>
      </c>
      <c r="AA944" s="64">
        <f t="shared" si="133"/>
        <v>412</v>
      </c>
      <c r="AH944" s="64" t="e">
        <f t="shared" si="134"/>
        <v>#N/A</v>
      </c>
      <c r="AS944" s="64" t="e">
        <f t="shared" si="135"/>
        <v>#N/A</v>
      </c>
    </row>
    <row r="945" spans="1:45" s="64" customFormat="1" ht="36" customHeight="1" x14ac:dyDescent="0.9">
      <c r="A945" s="64">
        <v>1</v>
      </c>
      <c r="B945" s="92">
        <f>SUBTOTAL(103,$A$942:A945)</f>
        <v>4</v>
      </c>
      <c r="C945" s="91" t="s">
        <v>582</v>
      </c>
      <c r="D945" s="126" t="s">
        <v>322</v>
      </c>
      <c r="E945" s="126"/>
      <c r="F945" s="145" t="s">
        <v>319</v>
      </c>
      <c r="G945" s="126" t="s">
        <v>360</v>
      </c>
      <c r="H945" s="126">
        <v>3</v>
      </c>
      <c r="I945" s="117">
        <v>2819.1</v>
      </c>
      <c r="J945" s="117">
        <v>2571.8000000000002</v>
      </c>
      <c r="K945" s="117">
        <v>1698</v>
      </c>
      <c r="L945" s="127">
        <v>109</v>
      </c>
      <c r="M945" s="126" t="s">
        <v>271</v>
      </c>
      <c r="N945" s="126" t="s">
        <v>275</v>
      </c>
      <c r="O945" s="124" t="s">
        <v>1102</v>
      </c>
      <c r="P945" s="118">
        <v>3183875.94</v>
      </c>
      <c r="Q945" s="118">
        <v>0</v>
      </c>
      <c r="R945" s="118">
        <v>0</v>
      </c>
      <c r="S945" s="118">
        <f t="shared" si="137"/>
        <v>3183875.94</v>
      </c>
      <c r="T945" s="118">
        <f t="shared" si="136"/>
        <v>1129.394466319038</v>
      </c>
      <c r="U945" s="118">
        <f t="shared" si="138"/>
        <v>1337.3557518356922</v>
      </c>
      <c r="V945" s="183">
        <f t="shared" si="131"/>
        <v>207.96128551665424</v>
      </c>
      <c r="W945" s="183"/>
      <c r="X945" s="183"/>
      <c r="Y945" s="64">
        <f t="shared" si="132"/>
        <v>1337.3557518356922</v>
      </c>
      <c r="AA945" s="64">
        <f t="shared" si="133"/>
        <v>722</v>
      </c>
      <c r="AH945" s="64" t="e">
        <f t="shared" si="134"/>
        <v>#N/A</v>
      </c>
      <c r="AS945" s="64" t="e">
        <f t="shared" si="135"/>
        <v>#N/A</v>
      </c>
    </row>
    <row r="946" spans="1:45" s="64" customFormat="1" ht="36" customHeight="1" x14ac:dyDescent="0.9">
      <c r="A946" s="64">
        <v>1</v>
      </c>
      <c r="B946" s="92">
        <f>SUBTOTAL(103,$A$942:A946)</f>
        <v>5</v>
      </c>
      <c r="C946" s="91" t="s">
        <v>583</v>
      </c>
      <c r="D946" s="126" t="s">
        <v>317</v>
      </c>
      <c r="E946" s="126"/>
      <c r="F946" s="145" t="s">
        <v>273</v>
      </c>
      <c r="G946" s="126" t="s">
        <v>366</v>
      </c>
      <c r="H946" s="126">
        <v>1</v>
      </c>
      <c r="I946" s="117">
        <v>3295.9</v>
      </c>
      <c r="J946" s="117">
        <v>2784.3</v>
      </c>
      <c r="K946" s="117">
        <v>2287.3000000000002</v>
      </c>
      <c r="L946" s="127">
        <v>98</v>
      </c>
      <c r="M946" s="126" t="s">
        <v>271</v>
      </c>
      <c r="N946" s="126" t="s">
        <v>275</v>
      </c>
      <c r="O946" s="124" t="s">
        <v>1102</v>
      </c>
      <c r="P946" s="118">
        <v>1598353.21</v>
      </c>
      <c r="Q946" s="118">
        <v>0</v>
      </c>
      <c r="R946" s="118">
        <v>0</v>
      </c>
      <c r="S946" s="118">
        <f t="shared" si="137"/>
        <v>1598353.21</v>
      </c>
      <c r="T946" s="118">
        <f t="shared" si="136"/>
        <v>484.95197366424952</v>
      </c>
      <c r="U946" s="118">
        <f t="shared" si="138"/>
        <v>556.10054916714705</v>
      </c>
      <c r="V946" s="183">
        <f t="shared" si="131"/>
        <v>71.148575502897529</v>
      </c>
      <c r="W946" s="183"/>
      <c r="X946" s="183"/>
      <c r="Y946" s="64">
        <f t="shared" si="132"/>
        <v>556.10054916714705</v>
      </c>
      <c r="AA946" s="64">
        <f t="shared" si="133"/>
        <v>351</v>
      </c>
      <c r="AH946" s="64" t="e">
        <f t="shared" si="134"/>
        <v>#N/A</v>
      </c>
      <c r="AS946" s="64" t="e">
        <f t="shared" si="135"/>
        <v>#N/A</v>
      </c>
    </row>
    <row r="947" spans="1:45" s="64" customFormat="1" ht="36" customHeight="1" x14ac:dyDescent="0.9">
      <c r="A947" s="64">
        <v>1</v>
      </c>
      <c r="B947" s="92">
        <f>SUBTOTAL(103,$A$942:A947)</f>
        <v>6</v>
      </c>
      <c r="C947" s="91" t="s">
        <v>584</v>
      </c>
      <c r="D947" s="126" t="s">
        <v>322</v>
      </c>
      <c r="E947" s="126"/>
      <c r="F947" s="145" t="s">
        <v>319</v>
      </c>
      <c r="G947" s="126" t="s">
        <v>360</v>
      </c>
      <c r="H947" s="126">
        <v>5</v>
      </c>
      <c r="I947" s="117">
        <v>5771.6</v>
      </c>
      <c r="J947" s="117">
        <v>4780.3999999999996</v>
      </c>
      <c r="K947" s="117">
        <v>4455.8999999999996</v>
      </c>
      <c r="L947" s="127">
        <v>241</v>
      </c>
      <c r="M947" s="126" t="s">
        <v>271</v>
      </c>
      <c r="N947" s="126" t="s">
        <v>275</v>
      </c>
      <c r="O947" s="124" t="s">
        <v>1102</v>
      </c>
      <c r="P947" s="118">
        <v>5391207.6599999992</v>
      </c>
      <c r="Q947" s="118">
        <v>0</v>
      </c>
      <c r="R947" s="118">
        <v>0</v>
      </c>
      <c r="S947" s="118">
        <f t="shared" si="137"/>
        <v>5391207.6599999992</v>
      </c>
      <c r="T947" s="118">
        <f t="shared" si="136"/>
        <v>934.09239379028327</v>
      </c>
      <c r="U947" s="118">
        <f t="shared" si="138"/>
        <v>1085.6885439046364</v>
      </c>
      <c r="V947" s="183">
        <f t="shared" si="131"/>
        <v>151.59615011435312</v>
      </c>
      <c r="W947" s="183"/>
      <c r="X947" s="183"/>
      <c r="Y947" s="64">
        <f t="shared" si="132"/>
        <v>1085.6885439046364</v>
      </c>
      <c r="AA947" s="64">
        <f t="shared" si="133"/>
        <v>1200</v>
      </c>
      <c r="AH947" s="64" t="e">
        <f t="shared" si="134"/>
        <v>#N/A</v>
      </c>
      <c r="AS947" s="64" t="e">
        <f t="shared" si="135"/>
        <v>#N/A</v>
      </c>
    </row>
    <row r="948" spans="1:45" s="64" customFormat="1" ht="36" customHeight="1" x14ac:dyDescent="0.9">
      <c r="A948" s="64">
        <v>1</v>
      </c>
      <c r="B948" s="92">
        <f>SUBTOTAL(103,$A$942:A948)</f>
        <v>7</v>
      </c>
      <c r="C948" s="91" t="s">
        <v>585</v>
      </c>
      <c r="D948" s="126" t="s">
        <v>361</v>
      </c>
      <c r="E948" s="126"/>
      <c r="F948" s="145" t="s">
        <v>273</v>
      </c>
      <c r="G948" s="126" t="s">
        <v>366</v>
      </c>
      <c r="H948" s="126">
        <v>1</v>
      </c>
      <c r="I948" s="117">
        <v>2826.2</v>
      </c>
      <c r="J948" s="117">
        <v>2772.3</v>
      </c>
      <c r="K948" s="117">
        <v>1324.2</v>
      </c>
      <c r="L948" s="127">
        <v>97</v>
      </c>
      <c r="M948" s="126" t="s">
        <v>271</v>
      </c>
      <c r="N948" s="126" t="s">
        <v>275</v>
      </c>
      <c r="O948" s="124" t="s">
        <v>1102</v>
      </c>
      <c r="P948" s="118">
        <v>1896320.0799999998</v>
      </c>
      <c r="Q948" s="118">
        <v>0</v>
      </c>
      <c r="R948" s="118">
        <v>0</v>
      </c>
      <c r="S948" s="118">
        <f t="shared" si="137"/>
        <v>1896320.0799999998</v>
      </c>
      <c r="T948" s="118">
        <f t="shared" si="136"/>
        <v>670.97872762012594</v>
      </c>
      <c r="U948" s="118">
        <f t="shared" si="138"/>
        <v>776.00877503361414</v>
      </c>
      <c r="V948" s="183">
        <f t="shared" si="131"/>
        <v>105.03004741348821</v>
      </c>
      <c r="W948" s="183"/>
      <c r="X948" s="183"/>
      <c r="Y948" s="64">
        <f t="shared" si="132"/>
        <v>776.00877503361414</v>
      </c>
      <c r="AA948" s="64">
        <f t="shared" si="133"/>
        <v>420</v>
      </c>
      <c r="AH948" s="64" t="e">
        <f t="shared" si="134"/>
        <v>#N/A</v>
      </c>
      <c r="AS948" s="64" t="e">
        <f t="shared" si="135"/>
        <v>#N/A</v>
      </c>
    </row>
    <row r="949" spans="1:45" s="64" customFormat="1" ht="36" customHeight="1" x14ac:dyDescent="0.9">
      <c r="A949" s="64">
        <v>1</v>
      </c>
      <c r="B949" s="92">
        <f>SUBTOTAL(103,$A$942:A949)</f>
        <v>8</v>
      </c>
      <c r="C949" s="91" t="s">
        <v>586</v>
      </c>
      <c r="D949" s="126" t="s">
        <v>325</v>
      </c>
      <c r="E949" s="126"/>
      <c r="F949" s="145" t="s">
        <v>319</v>
      </c>
      <c r="G949" s="126" t="s">
        <v>360</v>
      </c>
      <c r="H949" s="126">
        <v>3</v>
      </c>
      <c r="I949" s="117">
        <v>2495.6</v>
      </c>
      <c r="J949" s="117">
        <v>2297</v>
      </c>
      <c r="K949" s="117">
        <v>2070.8000000000002</v>
      </c>
      <c r="L949" s="127">
        <v>94</v>
      </c>
      <c r="M949" s="126" t="s">
        <v>271</v>
      </c>
      <c r="N949" s="126" t="s">
        <v>275</v>
      </c>
      <c r="O949" s="124" t="s">
        <v>1703</v>
      </c>
      <c r="P949" s="118">
        <v>2718609.5</v>
      </c>
      <c r="Q949" s="118">
        <v>0</v>
      </c>
      <c r="R949" s="118">
        <v>0</v>
      </c>
      <c r="S949" s="118">
        <f t="shared" si="137"/>
        <v>2718609.5</v>
      </c>
      <c r="T949" s="118">
        <f t="shared" si="136"/>
        <v>1089.3610754928675</v>
      </c>
      <c r="U949" s="118">
        <f t="shared" si="138"/>
        <v>1240.7947587754447</v>
      </c>
      <c r="V949" s="183">
        <f t="shared" si="131"/>
        <v>151.43368328257725</v>
      </c>
      <c r="W949" s="183"/>
      <c r="X949" s="183"/>
      <c r="Y949" s="64">
        <f t="shared" si="132"/>
        <v>1240.7947587754447</v>
      </c>
      <c r="AA949" s="64">
        <f t="shared" si="133"/>
        <v>593</v>
      </c>
      <c r="AH949" s="64" t="e">
        <f t="shared" si="134"/>
        <v>#N/A</v>
      </c>
      <c r="AS949" s="64" t="e">
        <f t="shared" si="135"/>
        <v>#N/A</v>
      </c>
    </row>
    <row r="950" spans="1:45" s="64" customFormat="1" ht="36" customHeight="1" x14ac:dyDescent="0.9">
      <c r="A950" s="64">
        <v>1</v>
      </c>
      <c r="B950" s="92">
        <f>SUBTOTAL(103,$A$942:A950)</f>
        <v>9</v>
      </c>
      <c r="C950" s="91" t="s">
        <v>1682</v>
      </c>
      <c r="D950" s="126">
        <v>1986</v>
      </c>
      <c r="E950" s="126"/>
      <c r="F950" s="145" t="s">
        <v>319</v>
      </c>
      <c r="G950" s="126">
        <v>9</v>
      </c>
      <c r="H950" s="126">
        <v>2</v>
      </c>
      <c r="I950" s="117">
        <v>4291.79</v>
      </c>
      <c r="J950" s="117">
        <v>3870.3</v>
      </c>
      <c r="K950" s="117">
        <v>3608.2</v>
      </c>
      <c r="L950" s="127">
        <v>180</v>
      </c>
      <c r="M950" s="126" t="s">
        <v>271</v>
      </c>
      <c r="N950" s="126" t="s">
        <v>275</v>
      </c>
      <c r="O950" s="124" t="s">
        <v>1414</v>
      </c>
      <c r="P950" s="118">
        <v>2863861.07</v>
      </c>
      <c r="Q950" s="118">
        <v>0</v>
      </c>
      <c r="R950" s="118">
        <v>0</v>
      </c>
      <c r="S950" s="118">
        <f t="shared" si="137"/>
        <v>2863861.07</v>
      </c>
      <c r="T950" s="118">
        <f t="shared" si="136"/>
        <v>667.28825734716747</v>
      </c>
      <c r="U950" s="118">
        <f t="shared" si="138"/>
        <v>680.13257871424287</v>
      </c>
      <c r="V950" s="183">
        <f t="shared" si="131"/>
        <v>12.844321367075395</v>
      </c>
      <c r="W950" s="183"/>
      <c r="X950" s="183"/>
      <c r="Y950" s="64">
        <f t="shared" si="132"/>
        <v>680.13257871424287</v>
      </c>
      <c r="AA950" s="64">
        <f t="shared" si="133"/>
        <v>559</v>
      </c>
      <c r="AH950" s="64" t="e">
        <f t="shared" si="134"/>
        <v>#N/A</v>
      </c>
      <c r="AS950" s="64" t="e">
        <f t="shared" si="135"/>
        <v>#N/A</v>
      </c>
    </row>
    <row r="951" spans="1:45" s="64" customFormat="1" ht="36" customHeight="1" x14ac:dyDescent="0.9">
      <c r="A951" s="64">
        <v>1</v>
      </c>
      <c r="B951" s="92">
        <f>SUBTOTAL(103,$A$942:A951)</f>
        <v>10</v>
      </c>
      <c r="C951" s="91" t="s">
        <v>587</v>
      </c>
      <c r="D951" s="126" t="s">
        <v>378</v>
      </c>
      <c r="E951" s="126"/>
      <c r="F951" s="145" t="s">
        <v>273</v>
      </c>
      <c r="G951" s="126" t="s">
        <v>366</v>
      </c>
      <c r="H951" s="126">
        <v>1</v>
      </c>
      <c r="I951" s="117">
        <v>6352.8</v>
      </c>
      <c r="J951" s="117">
        <v>4687.3999999999996</v>
      </c>
      <c r="K951" s="117">
        <v>2543.4</v>
      </c>
      <c r="L951" s="127">
        <v>211</v>
      </c>
      <c r="M951" s="126" t="s">
        <v>271</v>
      </c>
      <c r="N951" s="126" t="s">
        <v>275</v>
      </c>
      <c r="O951" s="124" t="s">
        <v>1118</v>
      </c>
      <c r="P951" s="118">
        <v>3653990.26</v>
      </c>
      <c r="Q951" s="118">
        <v>0</v>
      </c>
      <c r="R951" s="118">
        <v>0</v>
      </c>
      <c r="S951" s="118">
        <f t="shared" si="137"/>
        <v>3653990.26</v>
      </c>
      <c r="T951" s="118">
        <f t="shared" si="136"/>
        <v>575.17791524996846</v>
      </c>
      <c r="U951" s="118">
        <f t="shared" si="138"/>
        <v>652.64280317340388</v>
      </c>
      <c r="V951" s="183">
        <f t="shared" si="131"/>
        <v>77.464887923435413</v>
      </c>
      <c r="W951" s="183"/>
      <c r="X951" s="183"/>
      <c r="Y951" s="64">
        <f t="shared" si="132"/>
        <v>652.64280317340388</v>
      </c>
      <c r="AA951" s="64">
        <f t="shared" si="133"/>
        <v>794</v>
      </c>
      <c r="AH951" s="64" t="e">
        <f t="shared" si="134"/>
        <v>#N/A</v>
      </c>
      <c r="AS951" s="64" t="e">
        <f t="shared" si="135"/>
        <v>#N/A</v>
      </c>
    </row>
    <row r="952" spans="1:45" s="64" customFormat="1" ht="36" customHeight="1" x14ac:dyDescent="0.9">
      <c r="A952" s="64">
        <v>1</v>
      </c>
      <c r="B952" s="92">
        <f>SUBTOTAL(103,$A$942:A952)</f>
        <v>11</v>
      </c>
      <c r="C952" s="91" t="s">
        <v>1683</v>
      </c>
      <c r="D952" s="126">
        <v>1986</v>
      </c>
      <c r="E952" s="126"/>
      <c r="F952" s="145" t="s">
        <v>273</v>
      </c>
      <c r="G952" s="126">
        <v>5</v>
      </c>
      <c r="H952" s="126">
        <v>6</v>
      </c>
      <c r="I952" s="117">
        <v>4921.8</v>
      </c>
      <c r="J952" s="117">
        <v>3740</v>
      </c>
      <c r="K952" s="117">
        <v>3478.1</v>
      </c>
      <c r="L952" s="127">
        <v>200</v>
      </c>
      <c r="M952" s="126" t="s">
        <v>271</v>
      </c>
      <c r="N952" s="126" t="s">
        <v>275</v>
      </c>
      <c r="O952" s="124" t="s">
        <v>1118</v>
      </c>
      <c r="P952" s="118">
        <v>5582500</v>
      </c>
      <c r="Q952" s="118">
        <v>0</v>
      </c>
      <c r="R952" s="118">
        <v>0</v>
      </c>
      <c r="S952" s="118">
        <f t="shared" si="137"/>
        <v>5582500</v>
      </c>
      <c r="T952" s="118">
        <f t="shared" si="136"/>
        <v>1134.2395058718355</v>
      </c>
      <c r="U952" s="118">
        <f t="shared" si="138"/>
        <v>1419.5555284651957</v>
      </c>
      <c r="V952" s="183">
        <f t="shared" si="131"/>
        <v>285.31602259336023</v>
      </c>
      <c r="W952" s="183"/>
      <c r="X952" s="183"/>
      <c r="Y952" s="64">
        <f t="shared" si="132"/>
        <v>1419.5555284651957</v>
      </c>
      <c r="AA952" s="64">
        <f t="shared" si="133"/>
        <v>1338</v>
      </c>
      <c r="AH952" s="64" t="e">
        <f t="shared" si="134"/>
        <v>#N/A</v>
      </c>
      <c r="AS952" s="64" t="e">
        <f t="shared" si="135"/>
        <v>#N/A</v>
      </c>
    </row>
    <row r="953" spans="1:45" s="64" customFormat="1" ht="36" customHeight="1" x14ac:dyDescent="0.9">
      <c r="A953" s="64">
        <v>1</v>
      </c>
      <c r="B953" s="92">
        <f>SUBTOTAL(103,$A$942:A953)</f>
        <v>12</v>
      </c>
      <c r="C953" s="91" t="s">
        <v>588</v>
      </c>
      <c r="D953" s="126" t="s">
        <v>379</v>
      </c>
      <c r="E953" s="126"/>
      <c r="F953" s="145" t="s">
        <v>319</v>
      </c>
      <c r="G953" s="126" t="s">
        <v>360</v>
      </c>
      <c r="H953" s="126">
        <v>4</v>
      </c>
      <c r="I953" s="117">
        <v>4042.4</v>
      </c>
      <c r="J953" s="117">
        <v>3045.4</v>
      </c>
      <c r="K953" s="117">
        <v>2978.7</v>
      </c>
      <c r="L953" s="127">
        <v>118</v>
      </c>
      <c r="M953" s="126" t="s">
        <v>271</v>
      </c>
      <c r="N953" s="126" t="s">
        <v>275</v>
      </c>
      <c r="O953" s="124" t="s">
        <v>1352</v>
      </c>
      <c r="P953" s="118">
        <v>3493332.35</v>
      </c>
      <c r="Q953" s="118">
        <v>0</v>
      </c>
      <c r="R953" s="118">
        <v>0</v>
      </c>
      <c r="S953" s="118">
        <f t="shared" si="137"/>
        <v>3493332.35</v>
      </c>
      <c r="T953" s="118">
        <f t="shared" si="136"/>
        <v>864.17285523451415</v>
      </c>
      <c r="U953" s="118">
        <f t="shared" si="138"/>
        <v>981.99395408668124</v>
      </c>
      <c r="V953" s="183">
        <f t="shared" si="131"/>
        <v>117.8210988521671</v>
      </c>
      <c r="W953" s="183"/>
      <c r="X953" s="183"/>
      <c r="Y953" s="64">
        <f t="shared" si="132"/>
        <v>981.99395408668124</v>
      </c>
      <c r="AA953" s="64">
        <f t="shared" si="133"/>
        <v>760.2</v>
      </c>
      <c r="AH953" s="64" t="e">
        <f t="shared" si="134"/>
        <v>#N/A</v>
      </c>
      <c r="AS953" s="64" t="e">
        <f t="shared" si="135"/>
        <v>#N/A</v>
      </c>
    </row>
    <row r="954" spans="1:45" s="64" customFormat="1" ht="36" customHeight="1" x14ac:dyDescent="0.9">
      <c r="A954" s="64">
        <v>1</v>
      </c>
      <c r="B954" s="92">
        <f>SUBTOTAL(103,$A$942:A954)</f>
        <v>13</v>
      </c>
      <c r="C954" s="91" t="s">
        <v>589</v>
      </c>
      <c r="D954" s="126">
        <v>1971</v>
      </c>
      <c r="E954" s="126"/>
      <c r="F954" s="145" t="s">
        <v>273</v>
      </c>
      <c r="G954" s="126">
        <v>5</v>
      </c>
      <c r="H954" s="126">
        <v>5</v>
      </c>
      <c r="I954" s="117">
        <v>4541.8</v>
      </c>
      <c r="J954" s="117">
        <v>4541.8</v>
      </c>
      <c r="K954" s="117">
        <v>4403.2</v>
      </c>
      <c r="L954" s="127">
        <v>250</v>
      </c>
      <c r="M954" s="126" t="s">
        <v>271</v>
      </c>
      <c r="N954" s="126" t="s">
        <v>275</v>
      </c>
      <c r="O954" s="124" t="s">
        <v>1415</v>
      </c>
      <c r="P954" s="118">
        <v>5751539.1200000001</v>
      </c>
      <c r="Q954" s="118">
        <v>0</v>
      </c>
      <c r="R954" s="118">
        <v>0</v>
      </c>
      <c r="S954" s="118">
        <f t="shared" si="137"/>
        <v>5751539.1200000001</v>
      </c>
      <c r="T954" s="118">
        <f t="shared" si="136"/>
        <v>1266.3567572328152</v>
      </c>
      <c r="U954" s="118">
        <f t="shared" si="138"/>
        <v>1449.1075608789467</v>
      </c>
      <c r="V954" s="183">
        <f t="shared" si="131"/>
        <v>182.75080364613154</v>
      </c>
      <c r="W954" s="183"/>
      <c r="X954" s="183"/>
      <c r="Y954" s="64">
        <f t="shared" si="132"/>
        <v>1449.1075608789467</v>
      </c>
      <c r="AA954" s="64">
        <f t="shared" si="133"/>
        <v>1260.4000000000001</v>
      </c>
      <c r="AH954" s="64" t="e">
        <f t="shared" si="134"/>
        <v>#N/A</v>
      </c>
      <c r="AS954" s="64" t="e">
        <f t="shared" si="135"/>
        <v>#N/A</v>
      </c>
    </row>
    <row r="955" spans="1:45" s="64" customFormat="1" ht="36" customHeight="1" x14ac:dyDescent="0.9">
      <c r="A955" s="64">
        <v>1</v>
      </c>
      <c r="B955" s="92">
        <f>SUBTOTAL(103,$A$942:A955)</f>
        <v>14</v>
      </c>
      <c r="C955" s="91" t="s">
        <v>590</v>
      </c>
      <c r="D955" s="126" t="s">
        <v>317</v>
      </c>
      <c r="E955" s="126"/>
      <c r="F955" s="145" t="s">
        <v>319</v>
      </c>
      <c r="G955" s="126" t="s">
        <v>360</v>
      </c>
      <c r="H955" s="126">
        <v>6</v>
      </c>
      <c r="I955" s="117">
        <v>6071.1</v>
      </c>
      <c r="J955" s="117">
        <v>4547.3999999999996</v>
      </c>
      <c r="K955" s="117">
        <v>4155.2</v>
      </c>
      <c r="L955" s="127">
        <v>204</v>
      </c>
      <c r="M955" s="126" t="s">
        <v>271</v>
      </c>
      <c r="N955" s="126" t="s">
        <v>275</v>
      </c>
      <c r="O955" s="124" t="s">
        <v>1352</v>
      </c>
      <c r="P955" s="118">
        <v>5350859.32</v>
      </c>
      <c r="Q955" s="118">
        <v>0</v>
      </c>
      <c r="R955" s="118">
        <v>0</v>
      </c>
      <c r="S955" s="118">
        <f t="shared" si="137"/>
        <v>5350859.32</v>
      </c>
      <c r="T955" s="118">
        <f t="shared" si="136"/>
        <v>881.36570308510818</v>
      </c>
      <c r="U955" s="118">
        <f t="shared" si="138"/>
        <v>989.98398972179666</v>
      </c>
      <c r="V955" s="183">
        <f t="shared" si="131"/>
        <v>108.61828663668848</v>
      </c>
      <c r="W955" s="183"/>
      <c r="X955" s="183"/>
      <c r="Y955" s="64">
        <f t="shared" si="132"/>
        <v>989.98398972179666</v>
      </c>
      <c r="AA955" s="64">
        <f t="shared" si="133"/>
        <v>1151</v>
      </c>
      <c r="AH955" s="64" t="e">
        <f t="shared" si="134"/>
        <v>#N/A</v>
      </c>
      <c r="AS955" s="64" t="e">
        <f t="shared" si="135"/>
        <v>#N/A</v>
      </c>
    </row>
    <row r="956" spans="1:45" s="64" customFormat="1" ht="36" customHeight="1" x14ac:dyDescent="0.9">
      <c r="A956" s="64">
        <v>1</v>
      </c>
      <c r="B956" s="92">
        <f>SUBTOTAL(103,$A$942:A956)</f>
        <v>15</v>
      </c>
      <c r="C956" s="91" t="s">
        <v>591</v>
      </c>
      <c r="D956" s="126" t="s">
        <v>377</v>
      </c>
      <c r="E956" s="126"/>
      <c r="F956" s="145" t="s">
        <v>319</v>
      </c>
      <c r="G956" s="126" t="s">
        <v>380</v>
      </c>
      <c r="H956" s="126">
        <v>2</v>
      </c>
      <c r="I956" s="117">
        <v>2963</v>
      </c>
      <c r="J956" s="117">
        <v>2175.9</v>
      </c>
      <c r="K956" s="117">
        <v>2084.1</v>
      </c>
      <c r="L956" s="127">
        <v>123</v>
      </c>
      <c r="M956" s="126" t="s">
        <v>271</v>
      </c>
      <c r="N956" s="126" t="s">
        <v>275</v>
      </c>
      <c r="O956" s="124" t="s">
        <v>1352</v>
      </c>
      <c r="P956" s="118">
        <v>2108786.08</v>
      </c>
      <c r="Q956" s="118">
        <v>0</v>
      </c>
      <c r="R956" s="118">
        <v>0</v>
      </c>
      <c r="S956" s="118">
        <f t="shared" si="137"/>
        <v>2108786.08</v>
      </c>
      <c r="T956" s="118">
        <f t="shared" si="136"/>
        <v>711.70640566992915</v>
      </c>
      <c r="U956" s="118">
        <f t="shared" si="138"/>
        <v>818.95729328383391</v>
      </c>
      <c r="V956" s="183">
        <f t="shared" si="131"/>
        <v>107.25088761390475</v>
      </c>
      <c r="W956" s="183"/>
      <c r="X956" s="183"/>
      <c r="Y956" s="64">
        <f t="shared" si="132"/>
        <v>818.95729328383391</v>
      </c>
      <c r="AA956" s="64">
        <f t="shared" si="133"/>
        <v>464.7</v>
      </c>
      <c r="AH956" s="64" t="e">
        <f t="shared" si="134"/>
        <v>#N/A</v>
      </c>
      <c r="AS956" s="64" t="e">
        <f t="shared" si="135"/>
        <v>#N/A</v>
      </c>
    </row>
    <row r="957" spans="1:45" s="64" customFormat="1" ht="36" customHeight="1" x14ac:dyDescent="0.9">
      <c r="A957" s="64">
        <v>1</v>
      </c>
      <c r="B957" s="92">
        <f>SUBTOTAL(103,$A$942:A957)</f>
        <v>16</v>
      </c>
      <c r="C957" s="91" t="s">
        <v>592</v>
      </c>
      <c r="D957" s="126" t="s">
        <v>321</v>
      </c>
      <c r="E957" s="126"/>
      <c r="F957" s="145" t="s">
        <v>319</v>
      </c>
      <c r="G957" s="126" t="s">
        <v>380</v>
      </c>
      <c r="H957" s="126">
        <v>2</v>
      </c>
      <c r="I957" s="117">
        <v>2482.1</v>
      </c>
      <c r="J957" s="117">
        <v>2181.5500000000002</v>
      </c>
      <c r="K957" s="117">
        <v>1858.6</v>
      </c>
      <c r="L957" s="127">
        <v>96</v>
      </c>
      <c r="M957" s="126" t="s">
        <v>271</v>
      </c>
      <c r="N957" s="126" t="s">
        <v>275</v>
      </c>
      <c r="O957" s="124" t="s">
        <v>1413</v>
      </c>
      <c r="P957" s="118">
        <v>2108788.0499999998</v>
      </c>
      <c r="Q957" s="118">
        <v>0</v>
      </c>
      <c r="R957" s="118">
        <v>0</v>
      </c>
      <c r="S957" s="118">
        <f t="shared" si="137"/>
        <v>2108788.0499999998</v>
      </c>
      <c r="T957" s="118">
        <f t="shared" si="136"/>
        <v>849.59834414407146</v>
      </c>
      <c r="U957" s="118">
        <f t="shared" si="138"/>
        <v>977.58592482172367</v>
      </c>
      <c r="V957" s="183">
        <f t="shared" si="131"/>
        <v>127.9875806776522</v>
      </c>
      <c r="W957" s="183"/>
      <c r="X957" s="183"/>
      <c r="Y957" s="64">
        <f t="shared" si="132"/>
        <v>977.58592482172367</v>
      </c>
      <c r="AA957" s="64">
        <f t="shared" si="133"/>
        <v>464.68</v>
      </c>
      <c r="AH957" s="64" t="e">
        <f t="shared" si="134"/>
        <v>#N/A</v>
      </c>
      <c r="AS957" s="64" t="e">
        <f t="shared" si="135"/>
        <v>#N/A</v>
      </c>
    </row>
    <row r="958" spans="1:45" s="64" customFormat="1" ht="36" customHeight="1" x14ac:dyDescent="0.9">
      <c r="A958" s="64">
        <v>1</v>
      </c>
      <c r="B958" s="92">
        <f>SUBTOTAL(103,$A$942:A958)</f>
        <v>17</v>
      </c>
      <c r="C958" s="91" t="s">
        <v>1684</v>
      </c>
      <c r="D958" s="126">
        <v>1962</v>
      </c>
      <c r="E958" s="126"/>
      <c r="F958" s="145" t="s">
        <v>273</v>
      </c>
      <c r="G958" s="126">
        <v>4</v>
      </c>
      <c r="H958" s="126">
        <v>3</v>
      </c>
      <c r="I958" s="117">
        <v>2169.3000000000002</v>
      </c>
      <c r="J958" s="117">
        <v>1836.7</v>
      </c>
      <c r="K958" s="117">
        <v>1836.7</v>
      </c>
      <c r="L958" s="127">
        <v>110</v>
      </c>
      <c r="M958" s="126" t="s">
        <v>271</v>
      </c>
      <c r="N958" s="126" t="s">
        <v>275</v>
      </c>
      <c r="O958" s="124" t="s">
        <v>1118</v>
      </c>
      <c r="P958" s="118">
        <v>4161500</v>
      </c>
      <c r="Q958" s="118">
        <v>0</v>
      </c>
      <c r="R958" s="118">
        <v>0</v>
      </c>
      <c r="S958" s="118">
        <f t="shared" si="137"/>
        <v>4161500</v>
      </c>
      <c r="T958" s="118">
        <f t="shared" si="136"/>
        <v>1918.3607615359792</v>
      </c>
      <c r="U958" s="118">
        <f t="shared" si="138"/>
        <v>1993.1085603650947</v>
      </c>
      <c r="V958" s="183">
        <f t="shared" si="131"/>
        <v>74.747798829115482</v>
      </c>
      <c r="W958" s="183"/>
      <c r="X958" s="183"/>
      <c r="Y958" s="64">
        <f t="shared" si="132"/>
        <v>1993.1085603650947</v>
      </c>
      <c r="AA958" s="64">
        <f t="shared" si="133"/>
        <v>828</v>
      </c>
      <c r="AH958" s="64" t="e">
        <f t="shared" si="134"/>
        <v>#N/A</v>
      </c>
      <c r="AS958" s="64" t="e">
        <f t="shared" si="135"/>
        <v>#N/A</v>
      </c>
    </row>
    <row r="959" spans="1:45" s="64" customFormat="1" ht="36" customHeight="1" x14ac:dyDescent="0.9">
      <c r="A959" s="64">
        <v>1</v>
      </c>
      <c r="B959" s="92">
        <f>SUBTOTAL(103,$A$942:A959)</f>
        <v>18</v>
      </c>
      <c r="C959" s="91" t="s">
        <v>593</v>
      </c>
      <c r="D959" s="126" t="s">
        <v>381</v>
      </c>
      <c r="E959" s="126"/>
      <c r="F959" s="145" t="s">
        <v>319</v>
      </c>
      <c r="G959" s="126" t="s">
        <v>360</v>
      </c>
      <c r="H959" s="126">
        <v>4</v>
      </c>
      <c r="I959" s="117">
        <v>3579.9</v>
      </c>
      <c r="J959" s="117">
        <v>3134.6</v>
      </c>
      <c r="K959" s="117">
        <v>3134.6</v>
      </c>
      <c r="L959" s="127">
        <v>151</v>
      </c>
      <c r="M959" s="126" t="s">
        <v>271</v>
      </c>
      <c r="N959" s="126" t="s">
        <v>275</v>
      </c>
      <c r="O959" s="124" t="s">
        <v>1414</v>
      </c>
      <c r="P959" s="118">
        <v>4241954.88</v>
      </c>
      <c r="Q959" s="118">
        <v>0</v>
      </c>
      <c r="R959" s="118">
        <v>0</v>
      </c>
      <c r="S959" s="118">
        <f t="shared" si="137"/>
        <v>4241954.88</v>
      </c>
      <c r="T959" s="118">
        <f t="shared" si="136"/>
        <v>1184.9366965557697</v>
      </c>
      <c r="U959" s="118">
        <f t="shared" si="138"/>
        <v>1338.5976870862314</v>
      </c>
      <c r="V959" s="183">
        <f t="shared" si="131"/>
        <v>153.66099053046173</v>
      </c>
      <c r="W959" s="183"/>
      <c r="X959" s="183"/>
      <c r="Y959" s="64">
        <f t="shared" si="132"/>
        <v>1338.5976870862314</v>
      </c>
      <c r="AA959" s="64">
        <f t="shared" si="133"/>
        <v>917.7</v>
      </c>
      <c r="AH959" s="64" t="e">
        <f t="shared" si="134"/>
        <v>#N/A</v>
      </c>
      <c r="AS959" s="64" t="e">
        <f t="shared" si="135"/>
        <v>#N/A</v>
      </c>
    </row>
    <row r="960" spans="1:45" s="64" customFormat="1" ht="36" customHeight="1" x14ac:dyDescent="0.9">
      <c r="A960" s="64">
        <v>1</v>
      </c>
      <c r="B960" s="92">
        <f>SUBTOTAL(103,$A$942:A960)</f>
        <v>19</v>
      </c>
      <c r="C960" s="91" t="s">
        <v>594</v>
      </c>
      <c r="D960" s="126" t="s">
        <v>382</v>
      </c>
      <c r="E960" s="126"/>
      <c r="F960" s="145" t="s">
        <v>273</v>
      </c>
      <c r="G960" s="126" t="s">
        <v>320</v>
      </c>
      <c r="H960" s="126">
        <v>1</v>
      </c>
      <c r="I960" s="117">
        <v>1637</v>
      </c>
      <c r="J960" s="117">
        <v>983.6</v>
      </c>
      <c r="K960" s="117">
        <v>768.5</v>
      </c>
      <c r="L960" s="127">
        <v>71</v>
      </c>
      <c r="M960" s="126" t="s">
        <v>271</v>
      </c>
      <c r="N960" s="126" t="s">
        <v>275</v>
      </c>
      <c r="O960" s="124" t="s">
        <v>1413</v>
      </c>
      <c r="P960" s="118">
        <v>3514995.2</v>
      </c>
      <c r="Q960" s="118">
        <v>0</v>
      </c>
      <c r="R960" s="118">
        <v>0</v>
      </c>
      <c r="S960" s="118">
        <f t="shared" si="137"/>
        <v>3514995.2</v>
      </c>
      <c r="T960" s="118">
        <f t="shared" si="136"/>
        <v>2147.2175931582165</v>
      </c>
      <c r="U960" s="118">
        <f t="shared" si="138"/>
        <v>2472.1411117898597</v>
      </c>
      <c r="V960" s="183">
        <f t="shared" si="131"/>
        <v>324.92351863164322</v>
      </c>
      <c r="W960" s="183"/>
      <c r="X960" s="183"/>
      <c r="Y960" s="64">
        <f t="shared" si="132"/>
        <v>2472.1411117898597</v>
      </c>
      <c r="AA960" s="64">
        <f t="shared" si="133"/>
        <v>775</v>
      </c>
      <c r="AH960" s="64" t="e">
        <f t="shared" si="134"/>
        <v>#N/A</v>
      </c>
      <c r="AS960" s="64" t="e">
        <f t="shared" si="135"/>
        <v>#N/A</v>
      </c>
    </row>
    <row r="961" spans="1:45" s="64" customFormat="1" ht="36" customHeight="1" x14ac:dyDescent="0.9">
      <c r="A961" s="64">
        <v>1</v>
      </c>
      <c r="B961" s="92">
        <f>SUBTOTAL(103,$A$942:A961)</f>
        <v>20</v>
      </c>
      <c r="C961" s="91" t="s">
        <v>595</v>
      </c>
      <c r="D961" s="97" t="s">
        <v>318</v>
      </c>
      <c r="E961" s="126"/>
      <c r="F961" s="145" t="s">
        <v>319</v>
      </c>
      <c r="G961" s="126" t="s">
        <v>360</v>
      </c>
      <c r="H961" s="126">
        <v>3</v>
      </c>
      <c r="I961" s="117">
        <v>2249.1</v>
      </c>
      <c r="J961" s="117">
        <v>2046.7</v>
      </c>
      <c r="K961" s="117">
        <v>2046.7</v>
      </c>
      <c r="L961" s="127">
        <v>97</v>
      </c>
      <c r="M961" s="126" t="s">
        <v>271</v>
      </c>
      <c r="N961" s="126" t="s">
        <v>275</v>
      </c>
      <c r="O961" s="124" t="s">
        <v>1414</v>
      </c>
      <c r="P961" s="118">
        <v>2547497.35</v>
      </c>
      <c r="Q961" s="118">
        <v>0</v>
      </c>
      <c r="R961" s="118">
        <v>0</v>
      </c>
      <c r="S961" s="118">
        <f t="shared" si="137"/>
        <v>2547497.35</v>
      </c>
      <c r="T961" s="118">
        <f t="shared" si="136"/>
        <v>1132.6741140900806</v>
      </c>
      <c r="U961" s="118">
        <f t="shared" si="138"/>
        <v>1293.202881152461</v>
      </c>
      <c r="V961" s="183">
        <f t="shared" si="131"/>
        <v>160.52876706238044</v>
      </c>
      <c r="W961" s="183"/>
      <c r="X961" s="183"/>
      <c r="Y961" s="64">
        <f t="shared" si="132"/>
        <v>1293.202881152461</v>
      </c>
      <c r="AA961" s="64">
        <f t="shared" si="133"/>
        <v>557</v>
      </c>
      <c r="AH961" s="64" t="e">
        <f t="shared" si="134"/>
        <v>#N/A</v>
      </c>
      <c r="AS961" s="64" t="e">
        <f t="shared" si="135"/>
        <v>#N/A</v>
      </c>
    </row>
    <row r="962" spans="1:45" s="64" customFormat="1" ht="36" customHeight="1" x14ac:dyDescent="0.9">
      <c r="A962" s="64">
        <v>1</v>
      </c>
      <c r="B962" s="92">
        <f>SUBTOTAL(103,$A$942:A962)</f>
        <v>21</v>
      </c>
      <c r="C962" s="91" t="s">
        <v>596</v>
      </c>
      <c r="D962" s="97" t="s">
        <v>318</v>
      </c>
      <c r="E962" s="126"/>
      <c r="F962" s="145" t="s">
        <v>273</v>
      </c>
      <c r="G962" s="126" t="s">
        <v>360</v>
      </c>
      <c r="H962" s="126">
        <v>1</v>
      </c>
      <c r="I962" s="117">
        <v>867.9</v>
      </c>
      <c r="J962" s="117">
        <v>809.2</v>
      </c>
      <c r="K962" s="117">
        <v>766.2</v>
      </c>
      <c r="L962" s="127">
        <v>36</v>
      </c>
      <c r="M962" s="126" t="s">
        <v>271</v>
      </c>
      <c r="N962" s="126" t="s">
        <v>275</v>
      </c>
      <c r="O962" s="124" t="s">
        <v>1427</v>
      </c>
      <c r="P962" s="118">
        <v>974208.66</v>
      </c>
      <c r="Q962" s="118">
        <v>0</v>
      </c>
      <c r="R962" s="118">
        <v>0</v>
      </c>
      <c r="S962" s="118">
        <f t="shared" si="137"/>
        <v>974208.66</v>
      </c>
      <c r="T962" s="118">
        <f t="shared" si="136"/>
        <v>1122.4895264431386</v>
      </c>
      <c r="U962" s="118">
        <f t="shared" si="138"/>
        <v>1359.7497407535432</v>
      </c>
      <c r="V962" s="183">
        <f t="shared" si="131"/>
        <v>237.26021431040454</v>
      </c>
      <c r="W962" s="183"/>
      <c r="X962" s="183"/>
      <c r="Y962" s="64">
        <f t="shared" si="132"/>
        <v>1359.7497407535432</v>
      </c>
      <c r="AA962" s="64">
        <f t="shared" si="133"/>
        <v>226</v>
      </c>
      <c r="AH962" s="64" t="e">
        <f t="shared" si="134"/>
        <v>#N/A</v>
      </c>
      <c r="AS962" s="64" t="e">
        <f t="shared" si="135"/>
        <v>#N/A</v>
      </c>
    </row>
    <row r="963" spans="1:45" s="64" customFormat="1" ht="36" customHeight="1" x14ac:dyDescent="0.9">
      <c r="A963" s="64">
        <v>1</v>
      </c>
      <c r="B963" s="92">
        <f>SUBTOTAL(103,$A$942:A963)</f>
        <v>22</v>
      </c>
      <c r="C963" s="91" t="s">
        <v>597</v>
      </c>
      <c r="D963" s="126" t="s">
        <v>383</v>
      </c>
      <c r="E963" s="126"/>
      <c r="F963" s="145" t="s">
        <v>319</v>
      </c>
      <c r="G963" s="126" t="s">
        <v>360</v>
      </c>
      <c r="H963" s="126">
        <v>3</v>
      </c>
      <c r="I963" s="117">
        <v>2653.8</v>
      </c>
      <c r="J963" s="117">
        <v>2443.1</v>
      </c>
      <c r="K963" s="117">
        <v>2354.1</v>
      </c>
      <c r="L963" s="127">
        <v>102</v>
      </c>
      <c r="M963" s="126" t="s">
        <v>271</v>
      </c>
      <c r="N963" s="126" t="s">
        <v>275</v>
      </c>
      <c r="O963" s="124" t="s">
        <v>1102</v>
      </c>
      <c r="P963" s="118">
        <v>2883983.08</v>
      </c>
      <c r="Q963" s="118">
        <v>0</v>
      </c>
      <c r="R963" s="118">
        <v>0</v>
      </c>
      <c r="S963" s="118">
        <f t="shared" si="137"/>
        <v>2883983.08</v>
      </c>
      <c r="T963" s="118">
        <f t="shared" si="136"/>
        <v>1086.7371618057125</v>
      </c>
      <c r="U963" s="118">
        <f t="shared" si="138"/>
        <v>1243.5668098575627</v>
      </c>
      <c r="V963" s="183">
        <f t="shared" si="131"/>
        <v>156.8296480518502</v>
      </c>
      <c r="W963" s="183"/>
      <c r="X963" s="183"/>
      <c r="Y963" s="64">
        <f t="shared" si="132"/>
        <v>1243.5668098575627</v>
      </c>
      <c r="AA963" s="64">
        <f t="shared" si="133"/>
        <v>632</v>
      </c>
      <c r="AH963" s="64" t="e">
        <f t="shared" si="134"/>
        <v>#N/A</v>
      </c>
      <c r="AS963" s="64" t="e">
        <f t="shared" si="135"/>
        <v>#N/A</v>
      </c>
    </row>
    <row r="964" spans="1:45" s="64" customFormat="1" ht="36" customHeight="1" x14ac:dyDescent="0.9">
      <c r="A964" s="64">
        <v>1</v>
      </c>
      <c r="B964" s="92">
        <f>SUBTOTAL(103,$A$942:A964)</f>
        <v>23</v>
      </c>
      <c r="C964" s="91" t="s">
        <v>598</v>
      </c>
      <c r="D964" s="126" t="s">
        <v>383</v>
      </c>
      <c r="E964" s="126"/>
      <c r="F964" s="145" t="s">
        <v>319</v>
      </c>
      <c r="G964" s="126" t="s">
        <v>360</v>
      </c>
      <c r="H964" s="126">
        <v>3</v>
      </c>
      <c r="I964" s="117">
        <v>2632.8</v>
      </c>
      <c r="J964" s="117">
        <v>2351.9</v>
      </c>
      <c r="K964" s="117">
        <v>2335.8000000000002</v>
      </c>
      <c r="L964" s="127">
        <v>107</v>
      </c>
      <c r="M964" s="126" t="s">
        <v>271</v>
      </c>
      <c r="N964" s="126" t="s">
        <v>275</v>
      </c>
      <c r="O964" s="124" t="s">
        <v>1102</v>
      </c>
      <c r="P964" s="118">
        <v>2883983.08</v>
      </c>
      <c r="Q964" s="118">
        <v>0</v>
      </c>
      <c r="R964" s="118">
        <v>0</v>
      </c>
      <c r="S964" s="118">
        <f t="shared" si="137"/>
        <v>2883983.08</v>
      </c>
      <c r="T964" s="118">
        <f t="shared" si="136"/>
        <v>1095.4053023397144</v>
      </c>
      <c r="U964" s="118">
        <f t="shared" si="138"/>
        <v>1253.4858705560619</v>
      </c>
      <c r="V964" s="183">
        <f t="shared" si="131"/>
        <v>158.0805682163475</v>
      </c>
      <c r="W964" s="183"/>
      <c r="X964" s="183"/>
      <c r="Y964" s="64">
        <f t="shared" si="132"/>
        <v>1253.4858705560619</v>
      </c>
      <c r="AA964" s="64">
        <f t="shared" si="133"/>
        <v>632</v>
      </c>
      <c r="AH964" s="64" t="e">
        <f t="shared" si="134"/>
        <v>#N/A</v>
      </c>
      <c r="AS964" s="64" t="e">
        <f t="shared" si="135"/>
        <v>#N/A</v>
      </c>
    </row>
    <row r="965" spans="1:45" s="64" customFormat="1" ht="36" customHeight="1" x14ac:dyDescent="0.9">
      <c r="A965" s="64">
        <v>1</v>
      </c>
      <c r="B965" s="92">
        <f>SUBTOTAL(103,$A$942:A965)</f>
        <v>24</v>
      </c>
      <c r="C965" s="91" t="s">
        <v>599</v>
      </c>
      <c r="D965" s="126" t="s">
        <v>318</v>
      </c>
      <c r="E965" s="126"/>
      <c r="F965" s="145" t="s">
        <v>273</v>
      </c>
      <c r="G965" s="126" t="s">
        <v>366</v>
      </c>
      <c r="H965" s="126">
        <v>1</v>
      </c>
      <c r="I965" s="117">
        <v>3626.2</v>
      </c>
      <c r="J965" s="117">
        <v>3322.8</v>
      </c>
      <c r="K965" s="117">
        <v>3152.1</v>
      </c>
      <c r="L965" s="127">
        <v>152</v>
      </c>
      <c r="M965" s="126" t="s">
        <v>271</v>
      </c>
      <c r="N965" s="126" t="s">
        <v>275</v>
      </c>
      <c r="O965" s="124" t="s">
        <v>1102</v>
      </c>
      <c r="P965" s="118">
        <v>3302263</v>
      </c>
      <c r="Q965" s="118">
        <v>0</v>
      </c>
      <c r="R965" s="118">
        <v>0</v>
      </c>
      <c r="S965" s="118">
        <f t="shared" si="137"/>
        <v>3302263</v>
      </c>
      <c r="T965" s="118">
        <f t="shared" si="136"/>
        <v>910.66764105675372</v>
      </c>
      <c r="U965" s="118">
        <f t="shared" si="138"/>
        <v>1036.8142959572003</v>
      </c>
      <c r="V965" s="183">
        <f t="shared" si="131"/>
        <v>126.14665490044661</v>
      </c>
      <c r="W965" s="183"/>
      <c r="X965" s="183"/>
      <c r="Y965" s="64">
        <f t="shared" si="132"/>
        <v>1036.8142959572003</v>
      </c>
      <c r="AA965" s="64">
        <f t="shared" si="133"/>
        <v>720</v>
      </c>
      <c r="AH965" s="64" t="e">
        <f t="shared" si="134"/>
        <v>#N/A</v>
      </c>
      <c r="AS965" s="64" t="e">
        <f t="shared" si="135"/>
        <v>#N/A</v>
      </c>
    </row>
    <row r="966" spans="1:45" s="64" customFormat="1" ht="36" customHeight="1" x14ac:dyDescent="0.9">
      <c r="A966" s="64">
        <v>1</v>
      </c>
      <c r="B966" s="92">
        <f>SUBTOTAL(103,$A$942:A966)</f>
        <v>25</v>
      </c>
      <c r="C966" s="91" t="s">
        <v>600</v>
      </c>
      <c r="D966" s="126" t="s">
        <v>384</v>
      </c>
      <c r="E966" s="126"/>
      <c r="F966" s="145" t="s">
        <v>319</v>
      </c>
      <c r="G966" s="126" t="s">
        <v>360</v>
      </c>
      <c r="H966" s="126">
        <v>4</v>
      </c>
      <c r="I966" s="117">
        <v>3861</v>
      </c>
      <c r="J966" s="117">
        <v>3604.2</v>
      </c>
      <c r="K966" s="117">
        <v>3552.1</v>
      </c>
      <c r="L966" s="127">
        <v>165</v>
      </c>
      <c r="M966" s="126" t="s">
        <v>271</v>
      </c>
      <c r="N966" s="126" t="s">
        <v>275</v>
      </c>
      <c r="O966" s="124" t="s">
        <v>1102</v>
      </c>
      <c r="P966" s="118">
        <v>4323303.57</v>
      </c>
      <c r="Q966" s="118">
        <v>0</v>
      </c>
      <c r="R966" s="118">
        <v>0</v>
      </c>
      <c r="S966" s="118">
        <f t="shared" si="137"/>
        <v>4323303.57</v>
      </c>
      <c r="T966" s="118">
        <f t="shared" si="136"/>
        <v>1119.7367443667445</v>
      </c>
      <c r="U966" s="118">
        <f t="shared" si="138"/>
        <v>1313.2265734265734</v>
      </c>
      <c r="V966" s="183">
        <f t="shared" si="131"/>
        <v>193.48982905982893</v>
      </c>
      <c r="W966" s="183"/>
      <c r="X966" s="183"/>
      <c r="Y966" s="64">
        <f t="shared" si="132"/>
        <v>1313.2265734265734</v>
      </c>
      <c r="AA966" s="64">
        <f t="shared" si="133"/>
        <v>971</v>
      </c>
      <c r="AH966" s="64" t="e">
        <f t="shared" si="134"/>
        <v>#N/A</v>
      </c>
      <c r="AS966" s="64" t="e">
        <f t="shared" si="135"/>
        <v>#N/A</v>
      </c>
    </row>
    <row r="967" spans="1:45" s="64" customFormat="1" ht="36" customHeight="1" x14ac:dyDescent="0.9">
      <c r="A967" s="64">
        <v>1</v>
      </c>
      <c r="B967" s="92">
        <f>SUBTOTAL(103,$A$942:A967)</f>
        <v>26</v>
      </c>
      <c r="C967" s="91" t="s">
        <v>601</v>
      </c>
      <c r="D967" s="126" t="s">
        <v>385</v>
      </c>
      <c r="E967" s="126"/>
      <c r="F967" s="145" t="s">
        <v>273</v>
      </c>
      <c r="G967" s="126" t="s">
        <v>366</v>
      </c>
      <c r="H967" s="126">
        <v>1</v>
      </c>
      <c r="I967" s="117">
        <v>1800.4</v>
      </c>
      <c r="J967" s="117">
        <v>1643.1</v>
      </c>
      <c r="K967" s="117">
        <v>1043.0999999999999</v>
      </c>
      <c r="L967" s="127">
        <v>59</v>
      </c>
      <c r="M967" s="126" t="s">
        <v>271</v>
      </c>
      <c r="N967" s="126" t="s">
        <v>275</v>
      </c>
      <c r="O967" s="124" t="s">
        <v>1700</v>
      </c>
      <c r="P967" s="118">
        <v>2249559.61</v>
      </c>
      <c r="Q967" s="118">
        <v>0</v>
      </c>
      <c r="R967" s="118">
        <v>0</v>
      </c>
      <c r="S967" s="118">
        <f t="shared" si="137"/>
        <v>2249559.61</v>
      </c>
      <c r="T967" s="118">
        <f t="shared" si="136"/>
        <v>1249.4776771828481</v>
      </c>
      <c r="U967" s="118">
        <f>T967</f>
        <v>1249.4776771828481</v>
      </c>
      <c r="V967" s="183">
        <f t="shared" si="131"/>
        <v>0</v>
      </c>
      <c r="W967" s="183"/>
      <c r="X967" s="183"/>
      <c r="Y967" s="64" t="e">
        <f t="shared" si="132"/>
        <v>#N/A</v>
      </c>
      <c r="AA967" s="64" t="e">
        <f t="shared" si="133"/>
        <v>#N/A</v>
      </c>
      <c r="AH967" s="64" t="e">
        <f t="shared" si="134"/>
        <v>#N/A</v>
      </c>
      <c r="AR967" s="64">
        <f>AS967*2207413/I967</f>
        <v>1226.0680959786714</v>
      </c>
      <c r="AS967" s="64">
        <f t="shared" si="135"/>
        <v>1</v>
      </c>
    </row>
    <row r="968" spans="1:45" s="64" customFormat="1" ht="36" customHeight="1" x14ac:dyDescent="0.9">
      <c r="A968" s="64">
        <v>1</v>
      </c>
      <c r="B968" s="92">
        <f>SUBTOTAL(103,$A$942:A968)</f>
        <v>27</v>
      </c>
      <c r="C968" s="91" t="s">
        <v>602</v>
      </c>
      <c r="D968" s="126">
        <v>1962</v>
      </c>
      <c r="E968" s="126"/>
      <c r="F968" s="145" t="s">
        <v>273</v>
      </c>
      <c r="G968" s="126">
        <v>5</v>
      </c>
      <c r="H968" s="126">
        <v>4</v>
      </c>
      <c r="I968" s="117">
        <v>4073.9</v>
      </c>
      <c r="J968" s="117">
        <v>3133.8</v>
      </c>
      <c r="K968" s="117">
        <v>2004.3</v>
      </c>
      <c r="L968" s="127">
        <v>154</v>
      </c>
      <c r="M968" s="126" t="s">
        <v>271</v>
      </c>
      <c r="N968" s="126" t="s">
        <v>275</v>
      </c>
      <c r="O968" s="124" t="s">
        <v>1118</v>
      </c>
      <c r="P968" s="118">
        <v>3899114.33</v>
      </c>
      <c r="Q968" s="118">
        <v>0</v>
      </c>
      <c r="R968" s="118">
        <v>0</v>
      </c>
      <c r="S968" s="118">
        <f t="shared" si="137"/>
        <v>3899114.33</v>
      </c>
      <c r="T968" s="118">
        <f t="shared" si="136"/>
        <v>957.09622965708536</v>
      </c>
      <c r="U968" s="118">
        <f t="shared" ref="U968:U973" si="139">Y968</f>
        <v>1081.8132992955154</v>
      </c>
      <c r="V968" s="183">
        <f t="shared" si="131"/>
        <v>124.71706963843008</v>
      </c>
      <c r="W968" s="183"/>
      <c r="X968" s="183"/>
      <c r="Y968" s="64">
        <f t="shared" si="132"/>
        <v>1081.8132992955154</v>
      </c>
      <c r="AA968" s="64">
        <f t="shared" si="133"/>
        <v>844</v>
      </c>
      <c r="AH968" s="64" t="e">
        <f t="shared" si="134"/>
        <v>#N/A</v>
      </c>
      <c r="AS968" s="64" t="e">
        <f t="shared" si="135"/>
        <v>#N/A</v>
      </c>
    </row>
    <row r="969" spans="1:45" s="64" customFormat="1" ht="36" customHeight="1" x14ac:dyDescent="0.9">
      <c r="A969" s="64">
        <v>1</v>
      </c>
      <c r="B969" s="92">
        <f>SUBTOTAL(103,$A$942:A969)</f>
        <v>28</v>
      </c>
      <c r="C969" s="91" t="s">
        <v>1685</v>
      </c>
      <c r="D969" s="126">
        <v>1962</v>
      </c>
      <c r="E969" s="126"/>
      <c r="F969" s="145" t="s">
        <v>273</v>
      </c>
      <c r="G969" s="126">
        <v>4</v>
      </c>
      <c r="H969" s="126">
        <v>3</v>
      </c>
      <c r="I969" s="117">
        <v>2132.1</v>
      </c>
      <c r="J969" s="117">
        <v>1746.6</v>
      </c>
      <c r="K969" s="117">
        <v>1691.5</v>
      </c>
      <c r="L969" s="127">
        <v>107</v>
      </c>
      <c r="M969" s="126" t="s">
        <v>271</v>
      </c>
      <c r="N969" s="126" t="s">
        <v>275</v>
      </c>
      <c r="O969" s="124" t="s">
        <v>1118</v>
      </c>
      <c r="P969" s="118">
        <v>4374650</v>
      </c>
      <c r="Q969" s="118">
        <v>0</v>
      </c>
      <c r="R969" s="118">
        <v>0</v>
      </c>
      <c r="S969" s="118">
        <f t="shared" si="137"/>
        <v>4374650</v>
      </c>
      <c r="T969" s="118">
        <f t="shared" si="136"/>
        <v>2051.8033863327237</v>
      </c>
      <c r="U969" s="118">
        <f t="shared" si="139"/>
        <v>2351.169269734065</v>
      </c>
      <c r="V969" s="183">
        <f t="shared" si="131"/>
        <v>299.36588340134131</v>
      </c>
      <c r="W969" s="183"/>
      <c r="X969" s="183"/>
      <c r="Y969" s="64">
        <f t="shared" si="132"/>
        <v>2351.169269734065</v>
      </c>
      <c r="AA969" s="64">
        <f t="shared" si="133"/>
        <v>960</v>
      </c>
      <c r="AH969" s="64" t="e">
        <f t="shared" si="134"/>
        <v>#N/A</v>
      </c>
      <c r="AS969" s="64" t="e">
        <f t="shared" si="135"/>
        <v>#N/A</v>
      </c>
    </row>
    <row r="970" spans="1:45" s="64" customFormat="1" ht="36" customHeight="1" x14ac:dyDescent="0.9">
      <c r="A970" s="64">
        <v>1</v>
      </c>
      <c r="B970" s="92">
        <f>SUBTOTAL(103,$A$942:A970)</f>
        <v>29</v>
      </c>
      <c r="C970" s="91" t="s">
        <v>1686</v>
      </c>
      <c r="D970" s="126">
        <v>1961</v>
      </c>
      <c r="E970" s="126"/>
      <c r="F970" s="145" t="s">
        <v>273</v>
      </c>
      <c r="G970" s="126">
        <v>5</v>
      </c>
      <c r="H970" s="126">
        <v>4</v>
      </c>
      <c r="I970" s="117">
        <v>3214.5</v>
      </c>
      <c r="J970" s="117">
        <v>2566.5</v>
      </c>
      <c r="K970" s="117">
        <v>2416.1999999999998</v>
      </c>
      <c r="L970" s="127">
        <v>167</v>
      </c>
      <c r="M970" s="126" t="s">
        <v>271</v>
      </c>
      <c r="N970" s="126" t="s">
        <v>275</v>
      </c>
      <c r="O970" s="124" t="s">
        <v>1118</v>
      </c>
      <c r="P970" s="118">
        <v>5613232.8199999994</v>
      </c>
      <c r="Q970" s="118">
        <v>0</v>
      </c>
      <c r="R970" s="118">
        <v>0</v>
      </c>
      <c r="S970" s="118">
        <f t="shared" si="137"/>
        <v>5613232.8199999994</v>
      </c>
      <c r="T970" s="118">
        <f t="shared" si="136"/>
        <v>1746.222684709908</v>
      </c>
      <c r="U970" s="118">
        <f t="shared" si="139"/>
        <v>1746.2855809612693</v>
      </c>
      <c r="V970" s="183">
        <f t="shared" si="131"/>
        <v>6.289625136128052E-2</v>
      </c>
      <c r="W970" s="183"/>
      <c r="X970" s="183"/>
      <c r="Y970" s="64">
        <f t="shared" si="132"/>
        <v>1746.2855809612693</v>
      </c>
      <c r="AA970" s="64">
        <f t="shared" si="133"/>
        <v>1075</v>
      </c>
      <c r="AH970" s="64" t="e">
        <f t="shared" si="134"/>
        <v>#N/A</v>
      </c>
      <c r="AS970" s="64" t="e">
        <f t="shared" si="135"/>
        <v>#N/A</v>
      </c>
    </row>
    <row r="971" spans="1:45" s="64" customFormat="1" ht="36" customHeight="1" x14ac:dyDescent="0.9">
      <c r="A971" s="64">
        <v>1</v>
      </c>
      <c r="B971" s="92">
        <f>SUBTOTAL(103,$A$942:A971)</f>
        <v>30</v>
      </c>
      <c r="C971" s="91" t="s">
        <v>603</v>
      </c>
      <c r="D971" s="126" t="s">
        <v>369</v>
      </c>
      <c r="E971" s="126"/>
      <c r="F971" s="145" t="s">
        <v>319</v>
      </c>
      <c r="G971" s="126" t="s">
        <v>360</v>
      </c>
      <c r="H971" s="126">
        <v>4</v>
      </c>
      <c r="I971" s="117">
        <v>4425.6000000000004</v>
      </c>
      <c r="J971" s="117">
        <v>3128.2</v>
      </c>
      <c r="K971" s="117">
        <v>1799.3</v>
      </c>
      <c r="L971" s="127">
        <v>137</v>
      </c>
      <c r="M971" s="126" t="s">
        <v>271</v>
      </c>
      <c r="N971" s="126" t="s">
        <v>275</v>
      </c>
      <c r="O971" s="124" t="s">
        <v>1118</v>
      </c>
      <c r="P971" s="118">
        <v>3834609.35</v>
      </c>
      <c r="Q971" s="118">
        <v>0</v>
      </c>
      <c r="R971" s="118">
        <v>0</v>
      </c>
      <c r="S971" s="118">
        <f t="shared" si="137"/>
        <v>3834609.35</v>
      </c>
      <c r="T971" s="118">
        <f t="shared" si="136"/>
        <v>866.46089795733906</v>
      </c>
      <c r="U971" s="118">
        <f t="shared" si="139"/>
        <v>981.68329718004338</v>
      </c>
      <c r="V971" s="183">
        <f t="shared" si="131"/>
        <v>115.22239922270433</v>
      </c>
      <c r="W971" s="183"/>
      <c r="X971" s="183"/>
      <c r="Y971" s="64">
        <f t="shared" si="132"/>
        <v>981.68329718004338</v>
      </c>
      <c r="AA971" s="64">
        <f t="shared" si="133"/>
        <v>832</v>
      </c>
      <c r="AH971" s="64" t="e">
        <f t="shared" si="134"/>
        <v>#N/A</v>
      </c>
      <c r="AS971" s="64" t="e">
        <f t="shared" si="135"/>
        <v>#N/A</v>
      </c>
    </row>
    <row r="972" spans="1:45" s="64" customFormat="1" ht="36" customHeight="1" x14ac:dyDescent="0.9">
      <c r="A972" s="64">
        <v>1</v>
      </c>
      <c r="B972" s="92">
        <f>SUBTOTAL(103,$A$942:A972)</f>
        <v>31</v>
      </c>
      <c r="C972" s="91" t="s">
        <v>604</v>
      </c>
      <c r="D972" s="126" t="s">
        <v>379</v>
      </c>
      <c r="E972" s="126"/>
      <c r="F972" s="145" t="s">
        <v>319</v>
      </c>
      <c r="G972" s="126" t="s">
        <v>360</v>
      </c>
      <c r="H972" s="126">
        <v>3</v>
      </c>
      <c r="I972" s="117">
        <v>2899.7</v>
      </c>
      <c r="J972" s="117">
        <v>2636.4</v>
      </c>
      <c r="K972" s="117">
        <v>2071.8000000000002</v>
      </c>
      <c r="L972" s="127">
        <v>83</v>
      </c>
      <c r="M972" s="126" t="s">
        <v>271</v>
      </c>
      <c r="N972" s="126" t="s">
        <v>275</v>
      </c>
      <c r="O972" s="124" t="s">
        <v>1102</v>
      </c>
      <c r="P972" s="118">
        <v>2834067.58</v>
      </c>
      <c r="Q972" s="118">
        <v>0</v>
      </c>
      <c r="R972" s="118">
        <v>0</v>
      </c>
      <c r="S972" s="118">
        <f t="shared" si="137"/>
        <v>2834067.58</v>
      </c>
      <c r="T972" s="118">
        <f t="shared" si="136"/>
        <v>977.36578956443782</v>
      </c>
      <c r="U972" s="118">
        <f t="shared" si="139"/>
        <v>1119.2015380901473</v>
      </c>
      <c r="V972" s="183">
        <f t="shared" si="131"/>
        <v>141.8357485257095</v>
      </c>
      <c r="W972" s="183"/>
      <c r="X972" s="183"/>
      <c r="Y972" s="64">
        <f t="shared" si="132"/>
        <v>1119.2015380901473</v>
      </c>
      <c r="AA972" s="64">
        <f t="shared" si="133"/>
        <v>621.5</v>
      </c>
      <c r="AH972" s="64" t="e">
        <f t="shared" si="134"/>
        <v>#N/A</v>
      </c>
      <c r="AS972" s="64" t="e">
        <f t="shared" si="135"/>
        <v>#N/A</v>
      </c>
    </row>
    <row r="973" spans="1:45" s="64" customFormat="1" ht="36" customHeight="1" x14ac:dyDescent="0.9">
      <c r="A973" s="64">
        <v>1</v>
      </c>
      <c r="B973" s="92">
        <f>SUBTOTAL(103,$A$942:A973)</f>
        <v>32</v>
      </c>
      <c r="C973" s="91" t="s">
        <v>605</v>
      </c>
      <c r="D973" s="126">
        <v>1959</v>
      </c>
      <c r="E973" s="126"/>
      <c r="F973" s="145" t="s">
        <v>273</v>
      </c>
      <c r="G973" s="126">
        <v>5</v>
      </c>
      <c r="H973" s="126">
        <v>3</v>
      </c>
      <c r="I973" s="117">
        <v>5255.6</v>
      </c>
      <c r="J973" s="117">
        <v>3803.1</v>
      </c>
      <c r="K973" s="117">
        <v>2288.9</v>
      </c>
      <c r="L973" s="127">
        <v>136</v>
      </c>
      <c r="M973" s="126" t="s">
        <v>271</v>
      </c>
      <c r="N973" s="126" t="s">
        <v>275</v>
      </c>
      <c r="O973" s="124" t="s">
        <v>1118</v>
      </c>
      <c r="P973" s="118">
        <v>6697616.7399999993</v>
      </c>
      <c r="Q973" s="118">
        <v>0</v>
      </c>
      <c r="R973" s="118">
        <v>0</v>
      </c>
      <c r="S973" s="118">
        <f t="shared" si="137"/>
        <v>6697616.7399999993</v>
      </c>
      <c r="T973" s="118">
        <f t="shared" si="136"/>
        <v>1274.3771862394397</v>
      </c>
      <c r="U973" s="118">
        <f t="shared" si="139"/>
        <v>1437.6940025877159</v>
      </c>
      <c r="V973" s="183">
        <f t="shared" si="131"/>
        <v>163.31681634827623</v>
      </c>
      <c r="W973" s="183"/>
      <c r="X973" s="183"/>
      <c r="Y973" s="64">
        <f t="shared" si="132"/>
        <v>1437.6940025877159</v>
      </c>
      <c r="AA973" s="64">
        <f t="shared" si="133"/>
        <v>1447</v>
      </c>
      <c r="AH973" s="64" t="e">
        <f t="shared" si="134"/>
        <v>#N/A</v>
      </c>
      <c r="AS973" s="64" t="e">
        <f t="shared" si="135"/>
        <v>#N/A</v>
      </c>
    </row>
    <row r="974" spans="1:45" s="64" customFormat="1" ht="36" customHeight="1" x14ac:dyDescent="0.9">
      <c r="A974" s="64">
        <v>1</v>
      </c>
      <c r="B974" s="92">
        <f>SUBTOTAL(103,$A$942:A974)</f>
        <v>33</v>
      </c>
      <c r="C974" s="91" t="s">
        <v>606</v>
      </c>
      <c r="D974" s="126" t="s">
        <v>370</v>
      </c>
      <c r="E974" s="126"/>
      <c r="F974" s="145" t="s">
        <v>273</v>
      </c>
      <c r="G974" s="126" t="s">
        <v>360</v>
      </c>
      <c r="H974" s="126">
        <v>3</v>
      </c>
      <c r="I974" s="117">
        <v>2923.9</v>
      </c>
      <c r="J974" s="117">
        <v>2704.4</v>
      </c>
      <c r="K974" s="117">
        <v>1930.7</v>
      </c>
      <c r="L974" s="127">
        <v>105</v>
      </c>
      <c r="M974" s="126" t="s">
        <v>271</v>
      </c>
      <c r="N974" s="126" t="s">
        <v>275</v>
      </c>
      <c r="O974" s="124" t="s">
        <v>1703</v>
      </c>
      <c r="P974" s="118">
        <v>5163885</v>
      </c>
      <c r="Q974" s="118">
        <v>0</v>
      </c>
      <c r="R974" s="118">
        <v>0</v>
      </c>
      <c r="S974" s="118">
        <f t="shared" si="137"/>
        <v>5163885</v>
      </c>
      <c r="T974" s="118">
        <f t="shared" si="136"/>
        <v>1766.0949416874721</v>
      </c>
      <c r="U974" s="118">
        <f>AG974</f>
        <v>3516.3972193462505</v>
      </c>
      <c r="V974" s="183">
        <f t="shared" si="131"/>
        <v>1750.3022776587784</v>
      </c>
      <c r="W974" s="183"/>
      <c r="X974" s="183"/>
      <c r="Y974" s="64" t="e">
        <f t="shared" si="132"/>
        <v>#N/A</v>
      </c>
      <c r="AA974" s="64" t="e">
        <f t="shared" si="133"/>
        <v>#N/A</v>
      </c>
      <c r="AG974" s="64">
        <f>AH974*6191.24/J974</f>
        <v>3516.3972193462505</v>
      </c>
      <c r="AH974" s="64">
        <f t="shared" si="134"/>
        <v>1536</v>
      </c>
      <c r="AS974" s="64" t="e">
        <f t="shared" si="135"/>
        <v>#N/A</v>
      </c>
    </row>
    <row r="975" spans="1:45" s="64" customFormat="1" ht="36" customHeight="1" x14ac:dyDescent="0.9">
      <c r="A975" s="64">
        <v>1</v>
      </c>
      <c r="B975" s="92">
        <f>SUBTOTAL(103,$A$942:A975)</f>
        <v>34</v>
      </c>
      <c r="C975" s="91" t="s">
        <v>607</v>
      </c>
      <c r="D975" s="126" t="s">
        <v>321</v>
      </c>
      <c r="E975" s="126"/>
      <c r="F975" s="145" t="s">
        <v>319</v>
      </c>
      <c r="G975" s="126" t="s">
        <v>360</v>
      </c>
      <c r="H975" s="126">
        <v>5</v>
      </c>
      <c r="I975" s="117">
        <v>4700.6000000000004</v>
      </c>
      <c r="J975" s="117">
        <v>3460</v>
      </c>
      <c r="K975" s="117">
        <v>3460</v>
      </c>
      <c r="L975" s="127">
        <v>133</v>
      </c>
      <c r="M975" s="126" t="s">
        <v>271</v>
      </c>
      <c r="N975" s="126" t="s">
        <v>275</v>
      </c>
      <c r="O975" s="124" t="s">
        <v>1704</v>
      </c>
      <c r="P975" s="118">
        <v>4343671.0699999994</v>
      </c>
      <c r="Q975" s="118">
        <v>0</v>
      </c>
      <c r="R975" s="118">
        <v>0</v>
      </c>
      <c r="S975" s="118">
        <f t="shared" si="137"/>
        <v>4343671.0699999994</v>
      </c>
      <c r="T975" s="118">
        <f t="shared" si="136"/>
        <v>924.06736799557484</v>
      </c>
      <c r="U975" s="118">
        <f>Y975</f>
        <v>1043.2269029485597</v>
      </c>
      <c r="V975" s="183">
        <f t="shared" si="131"/>
        <v>119.15953495298481</v>
      </c>
      <c r="W975" s="183"/>
      <c r="X975" s="183"/>
      <c r="Y975" s="64">
        <f t="shared" si="132"/>
        <v>1043.2269029485597</v>
      </c>
      <c r="AA975" s="64">
        <f t="shared" si="133"/>
        <v>939.1</v>
      </c>
      <c r="AH975" s="64" t="e">
        <f t="shared" si="134"/>
        <v>#N/A</v>
      </c>
      <c r="AS975" s="64" t="e">
        <f t="shared" si="135"/>
        <v>#N/A</v>
      </c>
    </row>
    <row r="976" spans="1:45" s="64" customFormat="1" ht="36" customHeight="1" x14ac:dyDescent="0.9">
      <c r="A976" s="64">
        <v>1</v>
      </c>
      <c r="B976" s="92">
        <f>SUBTOTAL(103,$A$942:A976)</f>
        <v>35</v>
      </c>
      <c r="C976" s="91" t="s">
        <v>608</v>
      </c>
      <c r="D976" s="126" t="s">
        <v>318</v>
      </c>
      <c r="E976" s="126"/>
      <c r="F976" s="145" t="s">
        <v>273</v>
      </c>
      <c r="G976" s="126" t="s">
        <v>360</v>
      </c>
      <c r="H976" s="126">
        <v>4</v>
      </c>
      <c r="I976" s="117">
        <v>2288.5</v>
      </c>
      <c r="J976" s="117">
        <v>2288.5</v>
      </c>
      <c r="K976" s="117">
        <v>2288.5</v>
      </c>
      <c r="L976" s="127">
        <v>98</v>
      </c>
      <c r="M976" s="126" t="s">
        <v>271</v>
      </c>
      <c r="N976" s="126" t="s">
        <v>275</v>
      </c>
      <c r="O976" s="124" t="s">
        <v>1691</v>
      </c>
      <c r="P976" s="118">
        <v>2694844.11</v>
      </c>
      <c r="Q976" s="118">
        <v>0</v>
      </c>
      <c r="R976" s="118">
        <v>0</v>
      </c>
      <c r="S976" s="118">
        <f t="shared" si="137"/>
        <v>2694844.11</v>
      </c>
      <c r="T976" s="118">
        <f t="shared" si="136"/>
        <v>1177.5591479134805</v>
      </c>
      <c r="U976" s="118">
        <f>Y976</f>
        <v>1341.6728861699803</v>
      </c>
      <c r="V976" s="183">
        <f t="shared" si="131"/>
        <v>164.1137382564998</v>
      </c>
      <c r="W976" s="183"/>
      <c r="X976" s="183"/>
      <c r="Y976" s="64">
        <f t="shared" si="132"/>
        <v>1341.6728861699803</v>
      </c>
      <c r="AA976" s="64">
        <f t="shared" si="133"/>
        <v>588</v>
      </c>
      <c r="AH976" s="64" t="e">
        <f t="shared" si="134"/>
        <v>#N/A</v>
      </c>
      <c r="AS976" s="64" t="e">
        <f t="shared" si="135"/>
        <v>#N/A</v>
      </c>
    </row>
    <row r="977" spans="1:45" s="64" customFormat="1" ht="36" customHeight="1" x14ac:dyDescent="0.9">
      <c r="A977" s="64">
        <v>1</v>
      </c>
      <c r="B977" s="92">
        <f>SUBTOTAL(103,$A$942:A977)</f>
        <v>36</v>
      </c>
      <c r="C977" s="91" t="s">
        <v>609</v>
      </c>
      <c r="D977" s="126">
        <v>1961</v>
      </c>
      <c r="E977" s="126"/>
      <c r="F977" s="145" t="s">
        <v>273</v>
      </c>
      <c r="G977" s="126">
        <v>5</v>
      </c>
      <c r="H977" s="126">
        <v>2</v>
      </c>
      <c r="I977" s="117">
        <v>1703.9</v>
      </c>
      <c r="J977" s="117">
        <v>1558.5</v>
      </c>
      <c r="K977" s="117">
        <v>1516.4</v>
      </c>
      <c r="L977" s="127">
        <v>58</v>
      </c>
      <c r="M977" s="126" t="s">
        <v>271</v>
      </c>
      <c r="N977" s="126" t="s">
        <v>275</v>
      </c>
      <c r="O977" s="124" t="s">
        <v>1427</v>
      </c>
      <c r="P977" s="118">
        <v>4820291</v>
      </c>
      <c r="Q977" s="118">
        <v>0</v>
      </c>
      <c r="R977" s="118">
        <v>0</v>
      </c>
      <c r="S977" s="118">
        <f t="shared" si="137"/>
        <v>4820291</v>
      </c>
      <c r="T977" s="118">
        <f t="shared" si="136"/>
        <v>2828.9752919772286</v>
      </c>
      <c r="U977" s="118">
        <f>AG977</f>
        <v>5660.9027911453322</v>
      </c>
      <c r="V977" s="183">
        <f t="shared" ref="V977:V1040" si="140">U977-T977</f>
        <v>2831.9274991681036</v>
      </c>
      <c r="W977" s="183"/>
      <c r="X977" s="183"/>
      <c r="Y977" s="64" t="e">
        <f t="shared" ref="Y977:Y1040" si="141">AA977*5221.8/I977</f>
        <v>#N/A</v>
      </c>
      <c r="AA977" s="64" t="e">
        <f t="shared" ref="AA977:AA1040" si="142">VLOOKUP(C977,AC:AE,2,FALSE)</f>
        <v>#N/A</v>
      </c>
      <c r="AG977" s="64">
        <f>AH977*6191.24/J977</f>
        <v>5660.9027911453322</v>
      </c>
      <c r="AH977" s="64">
        <f t="shared" ref="AH977:AH1040" si="143">VLOOKUP(C977,AJ:AK,2,FALSE)</f>
        <v>1425</v>
      </c>
      <c r="AS977" s="64" t="e">
        <f t="shared" ref="AS977:AS1040" si="144">VLOOKUP(C977,AU:AV,2,FALSE)</f>
        <v>#N/A</v>
      </c>
    </row>
    <row r="978" spans="1:45" s="64" customFormat="1" ht="36" customHeight="1" x14ac:dyDescent="0.9">
      <c r="A978" s="64">
        <v>1</v>
      </c>
      <c r="B978" s="92">
        <f>SUBTOTAL(103,$A$942:A978)</f>
        <v>37</v>
      </c>
      <c r="C978" s="91" t="s">
        <v>610</v>
      </c>
      <c r="D978" s="126" t="s">
        <v>386</v>
      </c>
      <c r="E978" s="126"/>
      <c r="F978" s="145" t="s">
        <v>319</v>
      </c>
      <c r="G978" s="126" t="s">
        <v>360</v>
      </c>
      <c r="H978" s="126">
        <v>3</v>
      </c>
      <c r="I978" s="117">
        <v>2065.4</v>
      </c>
      <c r="J978" s="117">
        <v>1169.5</v>
      </c>
      <c r="K978" s="117">
        <v>1169.5</v>
      </c>
      <c r="L978" s="127">
        <v>91</v>
      </c>
      <c r="M978" s="126" t="s">
        <v>271</v>
      </c>
      <c r="N978" s="126" t="s">
        <v>275</v>
      </c>
      <c r="O978" s="124" t="s">
        <v>1698</v>
      </c>
      <c r="P978" s="118">
        <v>2571262.73</v>
      </c>
      <c r="Q978" s="118">
        <v>0</v>
      </c>
      <c r="R978" s="118">
        <v>0</v>
      </c>
      <c r="S978" s="118">
        <f t="shared" si="137"/>
        <v>2571262.73</v>
      </c>
      <c r="T978" s="118">
        <f t="shared" si="136"/>
        <v>1244.9224024402051</v>
      </c>
      <c r="U978" s="118">
        <f t="shared" ref="U978:U998" si="145">Y978</f>
        <v>1420.8635615377166</v>
      </c>
      <c r="V978" s="183">
        <f t="shared" si="140"/>
        <v>175.94115909751144</v>
      </c>
      <c r="W978" s="183"/>
      <c r="X978" s="183"/>
      <c r="Y978" s="64">
        <f t="shared" si="141"/>
        <v>1420.8635615377166</v>
      </c>
      <c r="AA978" s="64">
        <f t="shared" si="142"/>
        <v>562</v>
      </c>
      <c r="AH978" s="64" t="e">
        <f t="shared" si="143"/>
        <v>#N/A</v>
      </c>
      <c r="AS978" s="64" t="e">
        <f t="shared" si="144"/>
        <v>#N/A</v>
      </c>
    </row>
    <row r="979" spans="1:45" s="64" customFormat="1" ht="36" customHeight="1" x14ac:dyDescent="0.9">
      <c r="A979" s="64">
        <v>1</v>
      </c>
      <c r="B979" s="92">
        <f>SUBTOTAL(103,$A$942:A979)</f>
        <v>38</v>
      </c>
      <c r="C979" s="91" t="s">
        <v>611</v>
      </c>
      <c r="D979" s="126">
        <v>1972</v>
      </c>
      <c r="E979" s="126"/>
      <c r="F979" s="145" t="s">
        <v>273</v>
      </c>
      <c r="G979" s="126">
        <v>9</v>
      </c>
      <c r="H979" s="126">
        <v>1</v>
      </c>
      <c r="I979" s="117">
        <v>1896.4</v>
      </c>
      <c r="J979" s="117">
        <v>1896.4</v>
      </c>
      <c r="K979" s="117">
        <v>1859.1</v>
      </c>
      <c r="L979" s="127">
        <v>135</v>
      </c>
      <c r="M979" s="126" t="s">
        <v>271</v>
      </c>
      <c r="N979" s="126" t="s">
        <v>275</v>
      </c>
      <c r="O979" s="124" t="s">
        <v>1415</v>
      </c>
      <c r="P979" s="118">
        <v>1989100.53</v>
      </c>
      <c r="Q979" s="118">
        <v>0</v>
      </c>
      <c r="R979" s="118">
        <v>0</v>
      </c>
      <c r="S979" s="118">
        <f t="shared" si="137"/>
        <v>1989100.53</v>
      </c>
      <c r="T979" s="118">
        <f t="shared" si="136"/>
        <v>1048.8823718624762</v>
      </c>
      <c r="U979" s="118">
        <f t="shared" si="145"/>
        <v>1101.413203965408</v>
      </c>
      <c r="V979" s="183">
        <f t="shared" si="140"/>
        <v>52.530832102931754</v>
      </c>
      <c r="W979" s="183"/>
      <c r="X979" s="183"/>
      <c r="Y979" s="64">
        <f t="shared" si="141"/>
        <v>1101.413203965408</v>
      </c>
      <c r="AA979" s="64">
        <f t="shared" si="142"/>
        <v>400</v>
      </c>
      <c r="AH979" s="64" t="e">
        <f t="shared" si="143"/>
        <v>#N/A</v>
      </c>
      <c r="AS979" s="64" t="e">
        <f t="shared" si="144"/>
        <v>#N/A</v>
      </c>
    </row>
    <row r="980" spans="1:45" s="64" customFormat="1" ht="36" customHeight="1" x14ac:dyDescent="0.9">
      <c r="A980" s="64">
        <v>1</v>
      </c>
      <c r="B980" s="92">
        <f>SUBTOTAL(103,$A$942:A980)</f>
        <v>39</v>
      </c>
      <c r="C980" s="91" t="s">
        <v>612</v>
      </c>
      <c r="D980" s="126" t="s">
        <v>324</v>
      </c>
      <c r="E980" s="126"/>
      <c r="F980" s="145" t="s">
        <v>319</v>
      </c>
      <c r="G980" s="126" t="s">
        <v>360</v>
      </c>
      <c r="H980" s="126">
        <v>4</v>
      </c>
      <c r="I980" s="117">
        <v>3873.3</v>
      </c>
      <c r="J980" s="117">
        <v>3605.48</v>
      </c>
      <c r="K980" s="117">
        <v>3540.2</v>
      </c>
      <c r="L980" s="127">
        <v>165</v>
      </c>
      <c r="M980" s="126" t="s">
        <v>271</v>
      </c>
      <c r="N980" s="126" t="s">
        <v>275</v>
      </c>
      <c r="O980" s="124" t="s">
        <v>1102</v>
      </c>
      <c r="P980" s="118">
        <v>4272967.33</v>
      </c>
      <c r="Q980" s="118">
        <v>0</v>
      </c>
      <c r="R980" s="118">
        <v>0</v>
      </c>
      <c r="S980" s="118">
        <f t="shared" si="137"/>
        <v>4272967.33</v>
      </c>
      <c r="T980" s="118">
        <f t="shared" si="136"/>
        <v>1103.1852244855806</v>
      </c>
      <c r="U980" s="118">
        <f t="shared" si="145"/>
        <v>1294.226628456355</v>
      </c>
      <c r="V980" s="183">
        <f t="shared" si="140"/>
        <v>191.04140397077435</v>
      </c>
      <c r="W980" s="183"/>
      <c r="X980" s="183"/>
      <c r="Y980" s="64">
        <f t="shared" si="141"/>
        <v>1294.226628456355</v>
      </c>
      <c r="AA980" s="64">
        <f t="shared" si="142"/>
        <v>960</v>
      </c>
      <c r="AH980" s="64" t="e">
        <f t="shared" si="143"/>
        <v>#N/A</v>
      </c>
      <c r="AS980" s="64" t="e">
        <f t="shared" si="144"/>
        <v>#N/A</v>
      </c>
    </row>
    <row r="981" spans="1:45" s="64" customFormat="1" ht="36" customHeight="1" x14ac:dyDescent="0.9">
      <c r="A981" s="64">
        <v>1</v>
      </c>
      <c r="B981" s="92">
        <f>SUBTOTAL(103,$A$942:A981)</f>
        <v>40</v>
      </c>
      <c r="C981" s="91" t="s">
        <v>613</v>
      </c>
      <c r="D981" s="126" t="s">
        <v>387</v>
      </c>
      <c r="E981" s="126"/>
      <c r="F981" s="145" t="s">
        <v>319</v>
      </c>
      <c r="G981" s="126" t="s">
        <v>360</v>
      </c>
      <c r="H981" s="126">
        <v>4</v>
      </c>
      <c r="I981" s="117">
        <v>3881.3</v>
      </c>
      <c r="J981" s="117">
        <v>3615.9</v>
      </c>
      <c r="K981" s="117">
        <v>3551.2</v>
      </c>
      <c r="L981" s="127">
        <v>182</v>
      </c>
      <c r="M981" s="126" t="s">
        <v>271</v>
      </c>
      <c r="N981" s="126" t="s">
        <v>275</v>
      </c>
      <c r="O981" s="124" t="s">
        <v>1102</v>
      </c>
      <c r="P981" s="118">
        <v>4272967.33</v>
      </c>
      <c r="Q981" s="118">
        <v>0</v>
      </c>
      <c r="R981" s="118">
        <v>0</v>
      </c>
      <c r="S981" s="118">
        <f t="shared" si="137"/>
        <v>4272967.33</v>
      </c>
      <c r="T981" s="118">
        <f t="shared" si="136"/>
        <v>1100.9113776312061</v>
      </c>
      <c r="U981" s="118">
        <f t="shared" si="145"/>
        <v>1291.5590137325123</v>
      </c>
      <c r="V981" s="183">
        <f t="shared" si="140"/>
        <v>190.64763610130626</v>
      </c>
      <c r="W981" s="183"/>
      <c r="X981" s="183"/>
      <c r="Y981" s="64">
        <f t="shared" si="141"/>
        <v>1291.5590137325123</v>
      </c>
      <c r="AA981" s="64">
        <f t="shared" si="142"/>
        <v>960</v>
      </c>
      <c r="AH981" s="64" t="e">
        <f t="shared" si="143"/>
        <v>#N/A</v>
      </c>
      <c r="AS981" s="64" t="e">
        <f t="shared" si="144"/>
        <v>#N/A</v>
      </c>
    </row>
    <row r="982" spans="1:45" s="64" customFormat="1" ht="36" customHeight="1" x14ac:dyDescent="0.9">
      <c r="A982" s="64">
        <v>1</v>
      </c>
      <c r="B982" s="92">
        <f>SUBTOTAL(103,$A$942:A982)</f>
        <v>41</v>
      </c>
      <c r="C982" s="91" t="s">
        <v>614</v>
      </c>
      <c r="D982" s="126" t="s">
        <v>359</v>
      </c>
      <c r="E982" s="126"/>
      <c r="F982" s="145" t="s">
        <v>273</v>
      </c>
      <c r="G982" s="126" t="s">
        <v>366</v>
      </c>
      <c r="H982" s="126">
        <v>1</v>
      </c>
      <c r="I982" s="117">
        <v>1835.8</v>
      </c>
      <c r="J982" s="117">
        <v>1835.8</v>
      </c>
      <c r="K982" s="117">
        <v>1783.4</v>
      </c>
      <c r="L982" s="127">
        <v>76</v>
      </c>
      <c r="M982" s="126" t="s">
        <v>271</v>
      </c>
      <c r="N982" s="126" t="s">
        <v>275</v>
      </c>
      <c r="O982" s="124" t="s">
        <v>1691</v>
      </c>
      <c r="P982" s="118">
        <v>1633943.5899999999</v>
      </c>
      <c r="Q982" s="118">
        <v>0</v>
      </c>
      <c r="R982" s="118">
        <v>0</v>
      </c>
      <c r="S982" s="118">
        <f t="shared" si="137"/>
        <v>1633943.5899999999</v>
      </c>
      <c r="T982" s="118">
        <f t="shared" si="136"/>
        <v>890.04444383919815</v>
      </c>
      <c r="U982" s="118">
        <f t="shared" si="145"/>
        <v>1037.647151105785</v>
      </c>
      <c r="V982" s="183">
        <f t="shared" si="140"/>
        <v>147.60270726658689</v>
      </c>
      <c r="W982" s="183"/>
      <c r="X982" s="183"/>
      <c r="Y982" s="64">
        <f t="shared" si="141"/>
        <v>1037.647151105785</v>
      </c>
      <c r="AA982" s="64">
        <f t="shared" si="142"/>
        <v>364.8</v>
      </c>
      <c r="AH982" s="64" t="e">
        <f t="shared" si="143"/>
        <v>#N/A</v>
      </c>
      <c r="AS982" s="64" t="e">
        <f t="shared" si="144"/>
        <v>#N/A</v>
      </c>
    </row>
    <row r="983" spans="1:45" s="64" customFormat="1" ht="36" customHeight="1" x14ac:dyDescent="0.9">
      <c r="A983" s="64">
        <v>1</v>
      </c>
      <c r="B983" s="92">
        <f>SUBTOTAL(103,$A$942:A983)</f>
        <v>42</v>
      </c>
      <c r="C983" s="91" t="s">
        <v>615</v>
      </c>
      <c r="D983" s="126" t="s">
        <v>388</v>
      </c>
      <c r="E983" s="126"/>
      <c r="F983" s="145" t="s">
        <v>319</v>
      </c>
      <c r="G983" s="126" t="s">
        <v>360</v>
      </c>
      <c r="H983" s="126">
        <v>4</v>
      </c>
      <c r="I983" s="117">
        <v>3888.9</v>
      </c>
      <c r="J983" s="117">
        <v>3557.1</v>
      </c>
      <c r="K983" s="117">
        <v>3511.4</v>
      </c>
      <c r="L983" s="127">
        <v>169</v>
      </c>
      <c r="M983" s="126" t="s">
        <v>271</v>
      </c>
      <c r="N983" s="126" t="s">
        <v>275</v>
      </c>
      <c r="O983" s="124" t="s">
        <v>1102</v>
      </c>
      <c r="P983" s="118">
        <v>4272967.33</v>
      </c>
      <c r="Q983" s="118">
        <v>0</v>
      </c>
      <c r="R983" s="118">
        <v>0</v>
      </c>
      <c r="S983" s="118">
        <f t="shared" si="137"/>
        <v>4272967.33</v>
      </c>
      <c r="T983" s="118">
        <f t="shared" si="136"/>
        <v>1098.7598884003189</v>
      </c>
      <c r="U983" s="118">
        <f t="shared" si="145"/>
        <v>1289.0349456144411</v>
      </c>
      <c r="V983" s="183">
        <f t="shared" si="140"/>
        <v>190.27505721412217</v>
      </c>
      <c r="W983" s="183"/>
      <c r="X983" s="183"/>
      <c r="Y983" s="64">
        <f t="shared" si="141"/>
        <v>1289.0349456144411</v>
      </c>
      <c r="AA983" s="64">
        <f t="shared" si="142"/>
        <v>960</v>
      </c>
      <c r="AH983" s="64" t="e">
        <f t="shared" si="143"/>
        <v>#N/A</v>
      </c>
      <c r="AS983" s="64" t="e">
        <f t="shared" si="144"/>
        <v>#N/A</v>
      </c>
    </row>
    <row r="984" spans="1:45" s="64" customFormat="1" ht="36" customHeight="1" x14ac:dyDescent="0.9">
      <c r="A984" s="64">
        <v>1</v>
      </c>
      <c r="B984" s="92">
        <f>SUBTOTAL(103,$A$942:A984)</f>
        <v>43</v>
      </c>
      <c r="C984" s="91" t="s">
        <v>616</v>
      </c>
      <c r="D984" s="126" t="s">
        <v>388</v>
      </c>
      <c r="E984" s="126"/>
      <c r="F984" s="145" t="s">
        <v>319</v>
      </c>
      <c r="G984" s="126" t="s">
        <v>360</v>
      </c>
      <c r="H984" s="126">
        <v>4</v>
      </c>
      <c r="I984" s="117">
        <v>3854.3</v>
      </c>
      <c r="J984" s="117">
        <v>3599.34</v>
      </c>
      <c r="K984" s="117">
        <v>3550.2</v>
      </c>
      <c r="L984" s="127">
        <v>173</v>
      </c>
      <c r="M984" s="126" t="s">
        <v>271</v>
      </c>
      <c r="N984" s="126" t="s">
        <v>275</v>
      </c>
      <c r="O984" s="124" t="s">
        <v>1102</v>
      </c>
      <c r="P984" s="118">
        <v>4272967.33</v>
      </c>
      <c r="Q984" s="118">
        <v>0</v>
      </c>
      <c r="R984" s="118">
        <v>0</v>
      </c>
      <c r="S984" s="118">
        <f t="shared" si="137"/>
        <v>4272967.33</v>
      </c>
      <c r="T984" s="118">
        <f t="shared" si="136"/>
        <v>1108.6234413512182</v>
      </c>
      <c r="U984" s="118">
        <f t="shared" si="145"/>
        <v>1300.6065952312999</v>
      </c>
      <c r="V984" s="183">
        <f t="shared" si="140"/>
        <v>191.98315388008177</v>
      </c>
      <c r="W984" s="183"/>
      <c r="X984" s="183"/>
      <c r="Y984" s="64">
        <f t="shared" si="141"/>
        <v>1300.6065952312999</v>
      </c>
      <c r="AA984" s="64">
        <f t="shared" si="142"/>
        <v>960</v>
      </c>
      <c r="AH984" s="64" t="e">
        <f t="shared" si="143"/>
        <v>#N/A</v>
      </c>
      <c r="AS984" s="64" t="e">
        <f t="shared" si="144"/>
        <v>#N/A</v>
      </c>
    </row>
    <row r="985" spans="1:45" s="64" customFormat="1" ht="36" customHeight="1" x14ac:dyDescent="0.9">
      <c r="A985" s="64">
        <v>1</v>
      </c>
      <c r="B985" s="92">
        <f>SUBTOTAL(103,$A$942:A985)</f>
        <v>44</v>
      </c>
      <c r="C985" s="91" t="s">
        <v>617</v>
      </c>
      <c r="D985" s="126" t="s">
        <v>383</v>
      </c>
      <c r="E985" s="126"/>
      <c r="F985" s="145" t="s">
        <v>273</v>
      </c>
      <c r="G985" s="126" t="s">
        <v>360</v>
      </c>
      <c r="H985" s="126">
        <v>3</v>
      </c>
      <c r="I985" s="117">
        <v>2600.9</v>
      </c>
      <c r="J985" s="117">
        <v>2217.3000000000002</v>
      </c>
      <c r="K985" s="117">
        <v>2217.3000000000002</v>
      </c>
      <c r="L985" s="127">
        <v>72</v>
      </c>
      <c r="M985" s="126" t="s">
        <v>271</v>
      </c>
      <c r="N985" s="126" t="s">
        <v>275</v>
      </c>
      <c r="O985" s="124" t="s">
        <v>1413</v>
      </c>
      <c r="P985" s="118">
        <v>3064601.1799999997</v>
      </c>
      <c r="Q985" s="118">
        <v>0</v>
      </c>
      <c r="R985" s="118">
        <v>0</v>
      </c>
      <c r="S985" s="118">
        <f t="shared" si="137"/>
        <v>3064601.1799999997</v>
      </c>
      <c r="T985" s="118">
        <f t="shared" si="136"/>
        <v>1178.2848936906453</v>
      </c>
      <c r="U985" s="118">
        <f t="shared" si="145"/>
        <v>1345.1520627475104</v>
      </c>
      <c r="V985" s="183">
        <f t="shared" si="140"/>
        <v>166.86716905686512</v>
      </c>
      <c r="W985" s="183"/>
      <c r="X985" s="183"/>
      <c r="Y985" s="64">
        <f t="shared" si="141"/>
        <v>1345.1520627475104</v>
      </c>
      <c r="AA985" s="64">
        <f t="shared" si="142"/>
        <v>670</v>
      </c>
      <c r="AH985" s="64" t="e">
        <f t="shared" si="143"/>
        <v>#N/A</v>
      </c>
      <c r="AS985" s="64" t="e">
        <f t="shared" si="144"/>
        <v>#N/A</v>
      </c>
    </row>
    <row r="986" spans="1:45" s="64" customFormat="1" ht="36" customHeight="1" x14ac:dyDescent="0.9">
      <c r="A986" s="64">
        <v>1</v>
      </c>
      <c r="B986" s="92">
        <f>SUBTOTAL(103,$A$942:A986)</f>
        <v>45</v>
      </c>
      <c r="C986" s="91" t="s">
        <v>618</v>
      </c>
      <c r="D986" s="126" t="s">
        <v>378</v>
      </c>
      <c r="E986" s="126"/>
      <c r="F986" s="145" t="s">
        <v>273</v>
      </c>
      <c r="G986" s="126" t="s">
        <v>360</v>
      </c>
      <c r="H986" s="126">
        <v>1</v>
      </c>
      <c r="I986" s="117">
        <v>1129.8</v>
      </c>
      <c r="J986" s="117">
        <v>1033.3</v>
      </c>
      <c r="K986" s="117">
        <v>841.7</v>
      </c>
      <c r="L986" s="127">
        <v>41</v>
      </c>
      <c r="M986" s="126" t="s">
        <v>271</v>
      </c>
      <c r="N986" s="126" t="s">
        <v>275</v>
      </c>
      <c r="O986" s="124" t="s">
        <v>1427</v>
      </c>
      <c r="P986" s="118">
        <v>1046986.94</v>
      </c>
      <c r="Q986" s="118">
        <v>0</v>
      </c>
      <c r="R986" s="118">
        <v>0</v>
      </c>
      <c r="S986" s="118">
        <f t="shared" si="137"/>
        <v>1046986.94</v>
      </c>
      <c r="T986" s="118">
        <f t="shared" si="136"/>
        <v>926.70113294388386</v>
      </c>
      <c r="U986" s="118">
        <f t="shared" si="145"/>
        <v>1086.141795007966</v>
      </c>
      <c r="V986" s="183">
        <f t="shared" si="140"/>
        <v>159.44066206408218</v>
      </c>
      <c r="W986" s="183"/>
      <c r="X986" s="183"/>
      <c r="Y986" s="64">
        <f t="shared" si="141"/>
        <v>1086.141795007966</v>
      </c>
      <c r="AA986" s="64">
        <f t="shared" si="142"/>
        <v>235</v>
      </c>
      <c r="AH986" s="64" t="e">
        <f t="shared" si="143"/>
        <v>#N/A</v>
      </c>
      <c r="AS986" s="64" t="e">
        <f t="shared" si="144"/>
        <v>#N/A</v>
      </c>
    </row>
    <row r="987" spans="1:45" s="64" customFormat="1" ht="36" customHeight="1" x14ac:dyDescent="0.9">
      <c r="A987" s="64">
        <v>1</v>
      </c>
      <c r="B987" s="92">
        <f>SUBTOTAL(103,$A$942:A987)</f>
        <v>46</v>
      </c>
      <c r="C987" s="91" t="s">
        <v>619</v>
      </c>
      <c r="D987" s="126" t="s">
        <v>317</v>
      </c>
      <c r="E987" s="126"/>
      <c r="F987" s="145" t="s">
        <v>319</v>
      </c>
      <c r="G987" s="126" t="s">
        <v>360</v>
      </c>
      <c r="H987" s="126">
        <v>4</v>
      </c>
      <c r="I987" s="117">
        <v>4027.5</v>
      </c>
      <c r="J987" s="117">
        <v>3035.5</v>
      </c>
      <c r="K987" s="117">
        <v>3037.2</v>
      </c>
      <c r="L987" s="127">
        <v>135</v>
      </c>
      <c r="M987" s="126" t="s">
        <v>271</v>
      </c>
      <c r="N987" s="126" t="s">
        <v>275</v>
      </c>
      <c r="O987" s="124" t="s">
        <v>1352</v>
      </c>
      <c r="P987" s="118">
        <v>3516149.44</v>
      </c>
      <c r="Q987" s="118">
        <v>0</v>
      </c>
      <c r="R987" s="118">
        <v>0</v>
      </c>
      <c r="S987" s="118">
        <f t="shared" si="137"/>
        <v>3516149.44</v>
      </c>
      <c r="T987" s="118">
        <f t="shared" si="136"/>
        <v>873.03524270639355</v>
      </c>
      <c r="U987" s="118">
        <f t="shared" si="145"/>
        <v>991.85027932960895</v>
      </c>
      <c r="V987" s="183">
        <f t="shared" si="140"/>
        <v>118.81503662321541</v>
      </c>
      <c r="W987" s="183"/>
      <c r="X987" s="183"/>
      <c r="Y987" s="64">
        <f t="shared" si="141"/>
        <v>991.85027932960895</v>
      </c>
      <c r="AA987" s="64">
        <f t="shared" si="142"/>
        <v>765</v>
      </c>
      <c r="AH987" s="64" t="e">
        <f t="shared" si="143"/>
        <v>#N/A</v>
      </c>
      <c r="AS987" s="64" t="e">
        <f t="shared" si="144"/>
        <v>#N/A</v>
      </c>
    </row>
    <row r="988" spans="1:45" s="64" customFormat="1" ht="36" customHeight="1" x14ac:dyDescent="0.9">
      <c r="A988" s="64">
        <v>1</v>
      </c>
      <c r="B988" s="92">
        <f>SUBTOTAL(103,$A$942:A988)</f>
        <v>47</v>
      </c>
      <c r="C988" s="91" t="s">
        <v>620</v>
      </c>
      <c r="D988" s="126" t="s">
        <v>317</v>
      </c>
      <c r="E988" s="126"/>
      <c r="F988" s="145" t="s">
        <v>319</v>
      </c>
      <c r="G988" s="126" t="s">
        <v>360</v>
      </c>
      <c r="H988" s="126">
        <v>4</v>
      </c>
      <c r="I988" s="117">
        <v>4003.9</v>
      </c>
      <c r="J988" s="117">
        <v>30006.9</v>
      </c>
      <c r="K988" s="117">
        <v>2831.8</v>
      </c>
      <c r="L988" s="127">
        <v>130</v>
      </c>
      <c r="M988" s="126" t="s">
        <v>271</v>
      </c>
      <c r="N988" s="126" t="s">
        <v>275</v>
      </c>
      <c r="O988" s="124" t="s">
        <v>1352</v>
      </c>
      <c r="P988" s="118">
        <v>3493334.35</v>
      </c>
      <c r="Q988" s="118">
        <v>0</v>
      </c>
      <c r="R988" s="118">
        <v>0</v>
      </c>
      <c r="S988" s="118">
        <f t="shared" si="137"/>
        <v>3493334.35</v>
      </c>
      <c r="T988" s="118">
        <f t="shared" si="136"/>
        <v>872.48291665626016</v>
      </c>
      <c r="U988" s="118">
        <f t="shared" si="145"/>
        <v>991.43643947151531</v>
      </c>
      <c r="V988" s="183">
        <f t="shared" si="140"/>
        <v>118.95352281525516</v>
      </c>
      <c r="W988" s="183"/>
      <c r="X988" s="183"/>
      <c r="Y988" s="64">
        <f t="shared" si="141"/>
        <v>991.43643947151531</v>
      </c>
      <c r="AA988" s="64">
        <f t="shared" si="142"/>
        <v>760.2</v>
      </c>
      <c r="AH988" s="64" t="e">
        <f t="shared" si="143"/>
        <v>#N/A</v>
      </c>
      <c r="AS988" s="64" t="e">
        <f t="shared" si="144"/>
        <v>#N/A</v>
      </c>
    </row>
    <row r="989" spans="1:45" s="64" customFormat="1" ht="36" customHeight="1" x14ac:dyDescent="0.9">
      <c r="A989" s="64">
        <v>1</v>
      </c>
      <c r="B989" s="92">
        <f>SUBTOTAL(103,$A$942:A989)</f>
        <v>48</v>
      </c>
      <c r="C989" s="91" t="s">
        <v>621</v>
      </c>
      <c r="D989" s="126" t="s">
        <v>321</v>
      </c>
      <c r="E989" s="126"/>
      <c r="F989" s="145" t="s">
        <v>319</v>
      </c>
      <c r="G989" s="126" t="s">
        <v>366</v>
      </c>
      <c r="H989" s="126">
        <v>2</v>
      </c>
      <c r="I989" s="117">
        <v>4844.7</v>
      </c>
      <c r="J989" s="117">
        <v>3843.1</v>
      </c>
      <c r="K989" s="117">
        <v>3763.6</v>
      </c>
      <c r="L989" s="127">
        <v>150</v>
      </c>
      <c r="M989" s="126" t="s">
        <v>271</v>
      </c>
      <c r="N989" s="126" t="s">
        <v>275</v>
      </c>
      <c r="O989" s="124" t="s">
        <v>1352</v>
      </c>
      <c r="P989" s="118">
        <v>2597653.14</v>
      </c>
      <c r="Q989" s="118">
        <v>0</v>
      </c>
      <c r="R989" s="118">
        <v>0</v>
      </c>
      <c r="S989" s="118">
        <f t="shared" si="137"/>
        <v>2597653.14</v>
      </c>
      <c r="T989" s="118">
        <f t="shared" si="136"/>
        <v>536.1845191652734</v>
      </c>
      <c r="U989" s="118">
        <f t="shared" si="145"/>
        <v>616.26444733420033</v>
      </c>
      <c r="V989" s="183">
        <f t="shared" si="140"/>
        <v>80.079928168926926</v>
      </c>
      <c r="W989" s="183"/>
      <c r="X989" s="183"/>
      <c r="Y989" s="64">
        <f t="shared" si="141"/>
        <v>616.26444733420033</v>
      </c>
      <c r="AA989" s="64">
        <f t="shared" si="142"/>
        <v>571.76</v>
      </c>
      <c r="AH989" s="64" t="e">
        <f t="shared" si="143"/>
        <v>#N/A</v>
      </c>
      <c r="AS989" s="64" t="e">
        <f t="shared" si="144"/>
        <v>#N/A</v>
      </c>
    </row>
    <row r="990" spans="1:45" s="64" customFormat="1" ht="36" customHeight="1" x14ac:dyDescent="0.9">
      <c r="A990" s="64">
        <v>1</v>
      </c>
      <c r="B990" s="92">
        <f>SUBTOTAL(103,$A$942:A990)</f>
        <v>49</v>
      </c>
      <c r="C990" s="91" t="s">
        <v>1412</v>
      </c>
      <c r="D990" s="126">
        <v>1976</v>
      </c>
      <c r="E990" s="126"/>
      <c r="F990" s="145" t="s">
        <v>273</v>
      </c>
      <c r="G990" s="126">
        <v>5</v>
      </c>
      <c r="H990" s="126">
        <v>10</v>
      </c>
      <c r="I990" s="117">
        <v>8213.9</v>
      </c>
      <c r="J990" s="117">
        <v>7350.9</v>
      </c>
      <c r="K990" s="117">
        <v>6661.1</v>
      </c>
      <c r="L990" s="127">
        <v>418</v>
      </c>
      <c r="M990" s="126" t="s">
        <v>271</v>
      </c>
      <c r="N990" s="126" t="s">
        <v>275</v>
      </c>
      <c r="O990" s="124" t="s">
        <v>1429</v>
      </c>
      <c r="P990" s="118">
        <v>7840331.7599999998</v>
      </c>
      <c r="Q990" s="118">
        <v>0</v>
      </c>
      <c r="R990" s="118">
        <v>0</v>
      </c>
      <c r="S990" s="118">
        <f t="shared" si="137"/>
        <v>7840331.7599999998</v>
      </c>
      <c r="T990" s="118">
        <f t="shared" si="136"/>
        <v>954.51999172135038</v>
      </c>
      <c r="U990" s="118">
        <f t="shared" si="145"/>
        <v>1471.0728399420495</v>
      </c>
      <c r="V990" s="183">
        <f t="shared" si="140"/>
        <v>516.55284822069916</v>
      </c>
      <c r="W990" s="183"/>
      <c r="X990" s="183"/>
      <c r="Y990" s="64">
        <f t="shared" si="141"/>
        <v>1471.0728399420495</v>
      </c>
      <c r="AA990" s="64">
        <f t="shared" si="142"/>
        <v>2314</v>
      </c>
      <c r="AH990" s="64" t="e">
        <f t="shared" si="143"/>
        <v>#N/A</v>
      </c>
      <c r="AS990" s="64" t="e">
        <f t="shared" si="144"/>
        <v>#N/A</v>
      </c>
    </row>
    <row r="991" spans="1:45" s="64" customFormat="1" ht="36" customHeight="1" x14ac:dyDescent="0.9">
      <c r="A991" s="64">
        <v>1</v>
      </c>
      <c r="B991" s="92">
        <f>SUBTOTAL(103,$A$942:A991)</f>
        <v>50</v>
      </c>
      <c r="C991" s="91" t="s">
        <v>1687</v>
      </c>
      <c r="D991" s="126">
        <v>1970</v>
      </c>
      <c r="E991" s="126"/>
      <c r="F991" s="145" t="s">
        <v>273</v>
      </c>
      <c r="G991" s="126">
        <v>5</v>
      </c>
      <c r="H991" s="126">
        <v>6</v>
      </c>
      <c r="I991" s="117">
        <v>4831</v>
      </c>
      <c r="J991" s="117">
        <v>4434.8999999999996</v>
      </c>
      <c r="K991" s="117">
        <v>4190</v>
      </c>
      <c r="L991" s="127">
        <v>250</v>
      </c>
      <c r="M991" s="126" t="s">
        <v>271</v>
      </c>
      <c r="N991" s="126" t="s">
        <v>275</v>
      </c>
      <c r="O991" s="124" t="s">
        <v>1118</v>
      </c>
      <c r="P991" s="118">
        <v>5836250</v>
      </c>
      <c r="Q991" s="118">
        <v>0</v>
      </c>
      <c r="R991" s="118">
        <v>0</v>
      </c>
      <c r="S991" s="118">
        <f t="shared" si="137"/>
        <v>5836250</v>
      </c>
      <c r="T991" s="118">
        <f t="shared" si="136"/>
        <v>1208.083212585386</v>
      </c>
      <c r="U991" s="118">
        <f t="shared" si="145"/>
        <v>1292.7494928586214</v>
      </c>
      <c r="V991" s="183">
        <f t="shared" si="140"/>
        <v>84.666280273235316</v>
      </c>
      <c r="W991" s="183"/>
      <c r="X991" s="183"/>
      <c r="Y991" s="64">
        <f t="shared" si="141"/>
        <v>1292.7494928586214</v>
      </c>
      <c r="AA991" s="64">
        <f t="shared" si="142"/>
        <v>1196</v>
      </c>
      <c r="AH991" s="64" t="e">
        <f t="shared" si="143"/>
        <v>#N/A</v>
      </c>
      <c r="AS991" s="64" t="e">
        <f t="shared" si="144"/>
        <v>#N/A</v>
      </c>
    </row>
    <row r="992" spans="1:45" s="64" customFormat="1" ht="36" customHeight="1" x14ac:dyDescent="0.9">
      <c r="A992" s="64">
        <v>1</v>
      </c>
      <c r="B992" s="92">
        <f>SUBTOTAL(103,$A$942:A992)</f>
        <v>51</v>
      </c>
      <c r="C992" s="91" t="s">
        <v>1688</v>
      </c>
      <c r="D992" s="126">
        <v>1988</v>
      </c>
      <c r="E992" s="126"/>
      <c r="F992" s="145" t="s">
        <v>319</v>
      </c>
      <c r="G992" s="126">
        <v>5</v>
      </c>
      <c r="H992" s="126">
        <v>3</v>
      </c>
      <c r="I992" s="117">
        <v>2616.5</v>
      </c>
      <c r="J992" s="117">
        <v>2318.1999999999998</v>
      </c>
      <c r="K992" s="117">
        <v>2212.9</v>
      </c>
      <c r="L992" s="127">
        <v>110</v>
      </c>
      <c r="M992" s="126" t="s">
        <v>271</v>
      </c>
      <c r="N992" s="126" t="s">
        <v>275</v>
      </c>
      <c r="O992" s="124" t="s">
        <v>1118</v>
      </c>
      <c r="P992" s="118">
        <v>2840502.02</v>
      </c>
      <c r="Q992" s="118">
        <v>0</v>
      </c>
      <c r="R992" s="118">
        <v>0</v>
      </c>
      <c r="S992" s="118">
        <f t="shared" si="137"/>
        <v>2840502.02</v>
      </c>
      <c r="T992" s="118">
        <f t="shared" si="136"/>
        <v>1085.6113204662718</v>
      </c>
      <c r="U992" s="118">
        <f t="shared" si="145"/>
        <v>1171.4873304032105</v>
      </c>
      <c r="V992" s="183">
        <f t="shared" si="140"/>
        <v>85.876009936938772</v>
      </c>
      <c r="W992" s="183"/>
      <c r="X992" s="183"/>
      <c r="Y992" s="64">
        <f t="shared" si="141"/>
        <v>1171.4873304032105</v>
      </c>
      <c r="AA992" s="64">
        <f t="shared" si="142"/>
        <v>587</v>
      </c>
      <c r="AH992" s="64" t="e">
        <f t="shared" si="143"/>
        <v>#N/A</v>
      </c>
      <c r="AS992" s="64" t="e">
        <f t="shared" si="144"/>
        <v>#N/A</v>
      </c>
    </row>
    <row r="993" spans="1:45" s="64" customFormat="1" ht="36" customHeight="1" x14ac:dyDescent="0.9">
      <c r="A993" s="64">
        <v>1</v>
      </c>
      <c r="B993" s="92">
        <f>SUBTOTAL(103,$A$942:A993)</f>
        <v>52</v>
      </c>
      <c r="C993" s="91" t="s">
        <v>622</v>
      </c>
      <c r="D993" s="126" t="s">
        <v>331</v>
      </c>
      <c r="E993" s="126"/>
      <c r="F993" s="145" t="s">
        <v>319</v>
      </c>
      <c r="G993" s="126" t="s">
        <v>360</v>
      </c>
      <c r="H993" s="126">
        <v>4</v>
      </c>
      <c r="I993" s="117">
        <v>4258.1000000000004</v>
      </c>
      <c r="J993" s="117">
        <v>3136.3</v>
      </c>
      <c r="K993" s="117">
        <v>1795.5</v>
      </c>
      <c r="L993" s="127">
        <v>159</v>
      </c>
      <c r="M993" s="126" t="s">
        <v>271</v>
      </c>
      <c r="N993" s="126" t="s">
        <v>275</v>
      </c>
      <c r="O993" s="124" t="s">
        <v>1104</v>
      </c>
      <c r="P993" s="118">
        <v>4404985.5199999996</v>
      </c>
      <c r="Q993" s="118">
        <v>0</v>
      </c>
      <c r="R993" s="118">
        <v>0</v>
      </c>
      <c r="S993" s="118">
        <f t="shared" si="137"/>
        <v>4404985.5199999996</v>
      </c>
      <c r="T993" s="118">
        <f t="shared" ref="T993:T1057" si="146">P993/I993</f>
        <v>1034.4955543552287</v>
      </c>
      <c r="U993" s="118">
        <f t="shared" si="145"/>
        <v>1167.4581620910735</v>
      </c>
      <c r="V993" s="183">
        <f t="shared" si="140"/>
        <v>132.96260773584481</v>
      </c>
      <c r="W993" s="183"/>
      <c r="X993" s="183"/>
      <c r="Y993" s="64">
        <f t="shared" si="141"/>
        <v>1167.4581620910735</v>
      </c>
      <c r="AA993" s="64">
        <f t="shared" si="142"/>
        <v>952</v>
      </c>
      <c r="AH993" s="64" t="e">
        <f t="shared" si="143"/>
        <v>#N/A</v>
      </c>
      <c r="AS993" s="64" t="e">
        <f t="shared" si="144"/>
        <v>#N/A</v>
      </c>
    </row>
    <row r="994" spans="1:45" s="64" customFormat="1" ht="36" customHeight="1" x14ac:dyDescent="0.9">
      <c r="A994" s="64">
        <v>1</v>
      </c>
      <c r="B994" s="92">
        <f>SUBTOTAL(103,$A$942:A994)</f>
        <v>53</v>
      </c>
      <c r="C994" s="91" t="s">
        <v>1670</v>
      </c>
      <c r="D994" s="126">
        <v>1957</v>
      </c>
      <c r="E994" s="126"/>
      <c r="F994" s="145" t="s">
        <v>273</v>
      </c>
      <c r="G994" s="126">
        <v>3</v>
      </c>
      <c r="H994" s="126">
        <v>3</v>
      </c>
      <c r="I994" s="117">
        <v>1920.4</v>
      </c>
      <c r="J994" s="117">
        <v>1467.6</v>
      </c>
      <c r="K994" s="117">
        <v>1467.6</v>
      </c>
      <c r="L994" s="127">
        <v>62</v>
      </c>
      <c r="M994" s="126" t="s">
        <v>271</v>
      </c>
      <c r="N994" s="126" t="s">
        <v>275</v>
      </c>
      <c r="O994" s="124" t="s">
        <v>1643</v>
      </c>
      <c r="P994" s="118">
        <v>7371186.2199999997</v>
      </c>
      <c r="Q994" s="118">
        <v>0</v>
      </c>
      <c r="R994" s="118">
        <v>0</v>
      </c>
      <c r="S994" s="118">
        <f t="shared" si="137"/>
        <v>7371186.2199999997</v>
      </c>
      <c r="T994" s="118">
        <f t="shared" si="146"/>
        <v>3838.3598312851486</v>
      </c>
      <c r="U994" s="118">
        <f t="shared" si="145"/>
        <v>4423.4660695688399</v>
      </c>
      <c r="V994" s="183">
        <f t="shared" si="140"/>
        <v>585.10623828369125</v>
      </c>
      <c r="W994" s="183"/>
      <c r="X994" s="183"/>
      <c r="Y994" s="64">
        <f t="shared" si="141"/>
        <v>4423.4660695688399</v>
      </c>
      <c r="AA994" s="64">
        <f t="shared" si="142"/>
        <v>1626.8</v>
      </c>
      <c r="AH994" s="64" t="e">
        <f t="shared" si="143"/>
        <v>#N/A</v>
      </c>
      <c r="AS994" s="64" t="e">
        <f t="shared" si="144"/>
        <v>#N/A</v>
      </c>
    </row>
    <row r="995" spans="1:45" s="64" customFormat="1" ht="36" customHeight="1" x14ac:dyDescent="0.9">
      <c r="A995" s="64">
        <v>1</v>
      </c>
      <c r="B995" s="92">
        <f>SUBTOTAL(103,$A$942:A995)</f>
        <v>54</v>
      </c>
      <c r="C995" s="91" t="s">
        <v>623</v>
      </c>
      <c r="D995" s="126">
        <v>1981</v>
      </c>
      <c r="E995" s="126"/>
      <c r="F995" s="145" t="s">
        <v>273</v>
      </c>
      <c r="G995" s="126">
        <v>2</v>
      </c>
      <c r="H995" s="126">
        <v>3</v>
      </c>
      <c r="I995" s="117">
        <v>940.2</v>
      </c>
      <c r="J995" s="117">
        <v>850.3</v>
      </c>
      <c r="K995" s="117">
        <v>850.3</v>
      </c>
      <c r="L995" s="127">
        <v>29</v>
      </c>
      <c r="M995" s="126" t="s">
        <v>271</v>
      </c>
      <c r="N995" s="126" t="s">
        <v>275</v>
      </c>
      <c r="O995" s="124" t="s">
        <v>1689</v>
      </c>
      <c r="P995" s="118">
        <v>3550462.6100000003</v>
      </c>
      <c r="Q995" s="118">
        <v>0</v>
      </c>
      <c r="R995" s="118">
        <v>0</v>
      </c>
      <c r="S995" s="118">
        <f t="shared" si="137"/>
        <v>3550462.6100000003</v>
      </c>
      <c r="T995" s="118">
        <f t="shared" si="146"/>
        <v>3776.284418208892</v>
      </c>
      <c r="U995" s="118">
        <f t="shared" si="145"/>
        <v>4482.0727696234844</v>
      </c>
      <c r="V995" s="183">
        <f t="shared" si="140"/>
        <v>705.7883514145924</v>
      </c>
      <c r="W995" s="183"/>
      <c r="X995" s="183"/>
      <c r="Y995" s="64">
        <f t="shared" si="141"/>
        <v>4482.0727696234844</v>
      </c>
      <c r="AA995" s="64">
        <f t="shared" si="142"/>
        <v>807.01</v>
      </c>
      <c r="AH995" s="64" t="e">
        <f t="shared" si="143"/>
        <v>#N/A</v>
      </c>
      <c r="AS995" s="64" t="e">
        <f t="shared" si="144"/>
        <v>#N/A</v>
      </c>
    </row>
    <row r="996" spans="1:45" s="64" customFormat="1" ht="36" customHeight="1" x14ac:dyDescent="0.9">
      <c r="A996" s="64">
        <v>1</v>
      </c>
      <c r="B996" s="92">
        <f>SUBTOTAL(103,$A$942:A996)</f>
        <v>55</v>
      </c>
      <c r="C996" s="91" t="s">
        <v>624</v>
      </c>
      <c r="D996" s="126">
        <v>1994</v>
      </c>
      <c r="E996" s="126"/>
      <c r="F996" s="145" t="s">
        <v>273</v>
      </c>
      <c r="G996" s="126">
        <v>3</v>
      </c>
      <c r="H996" s="126">
        <v>2</v>
      </c>
      <c r="I996" s="117">
        <v>1481.9</v>
      </c>
      <c r="J996" s="117">
        <v>1353.2</v>
      </c>
      <c r="K996" s="117">
        <v>1353.2</v>
      </c>
      <c r="L996" s="127">
        <v>72</v>
      </c>
      <c r="M996" s="126" t="s">
        <v>271</v>
      </c>
      <c r="N996" s="126" t="s">
        <v>275</v>
      </c>
      <c r="O996" s="124" t="s">
        <v>1689</v>
      </c>
      <c r="P996" s="118">
        <v>4265711.66</v>
      </c>
      <c r="Q996" s="118">
        <v>0</v>
      </c>
      <c r="R996" s="118">
        <v>0</v>
      </c>
      <c r="S996" s="118">
        <f t="shared" si="137"/>
        <v>4265711.66</v>
      </c>
      <c r="T996" s="118">
        <f t="shared" si="146"/>
        <v>2878.5421823334909</v>
      </c>
      <c r="U996" s="118">
        <f t="shared" si="145"/>
        <v>3435.6265604966593</v>
      </c>
      <c r="V996" s="183">
        <f t="shared" si="140"/>
        <v>557.08437816316837</v>
      </c>
      <c r="W996" s="183"/>
      <c r="X996" s="183"/>
      <c r="Y996" s="64">
        <f t="shared" si="141"/>
        <v>3435.6265604966593</v>
      </c>
      <c r="AA996" s="64">
        <f t="shared" si="142"/>
        <v>975</v>
      </c>
      <c r="AH996" s="64" t="e">
        <f t="shared" si="143"/>
        <v>#N/A</v>
      </c>
      <c r="AS996" s="64" t="e">
        <f t="shared" si="144"/>
        <v>#N/A</v>
      </c>
    </row>
    <row r="997" spans="1:45" s="64" customFormat="1" ht="36" customHeight="1" x14ac:dyDescent="0.9">
      <c r="A997" s="64">
        <v>1</v>
      </c>
      <c r="B997" s="92">
        <f>SUBTOTAL(103,$A$942:A997)</f>
        <v>56</v>
      </c>
      <c r="C997" s="91" t="s">
        <v>625</v>
      </c>
      <c r="D997" s="126" t="s">
        <v>359</v>
      </c>
      <c r="E997" s="126"/>
      <c r="F997" s="145" t="s">
        <v>319</v>
      </c>
      <c r="G997" s="126" t="s">
        <v>360</v>
      </c>
      <c r="H997" s="126">
        <v>4</v>
      </c>
      <c r="I997" s="117">
        <v>4064.4</v>
      </c>
      <c r="J997" s="117">
        <v>3058.6</v>
      </c>
      <c r="K997" s="117">
        <v>2912</v>
      </c>
      <c r="L997" s="127">
        <v>130</v>
      </c>
      <c r="M997" s="126" t="s">
        <v>271</v>
      </c>
      <c r="N997" s="126" t="s">
        <v>275</v>
      </c>
      <c r="O997" s="124" t="s">
        <v>1352</v>
      </c>
      <c r="P997" s="118">
        <v>3545858.66</v>
      </c>
      <c r="Q997" s="118">
        <v>0</v>
      </c>
      <c r="R997" s="118">
        <v>0</v>
      </c>
      <c r="S997" s="118">
        <f t="shared" si="137"/>
        <v>3545858.66</v>
      </c>
      <c r="T997" s="118">
        <f t="shared" si="146"/>
        <v>872.4187235508316</v>
      </c>
      <c r="U997" s="118">
        <f t="shared" si="145"/>
        <v>990.87522143489809</v>
      </c>
      <c r="V997" s="183">
        <f t="shared" si="140"/>
        <v>118.45649788406649</v>
      </c>
      <c r="W997" s="183"/>
      <c r="X997" s="183"/>
      <c r="Y997" s="64">
        <f t="shared" si="141"/>
        <v>990.87522143489809</v>
      </c>
      <c r="AA997" s="64">
        <f t="shared" si="142"/>
        <v>771.25</v>
      </c>
      <c r="AH997" s="64" t="e">
        <f t="shared" si="143"/>
        <v>#N/A</v>
      </c>
      <c r="AS997" s="64" t="e">
        <f t="shared" si="144"/>
        <v>#N/A</v>
      </c>
    </row>
    <row r="998" spans="1:45" s="64" customFormat="1" ht="36" customHeight="1" x14ac:dyDescent="0.9">
      <c r="A998" s="64">
        <v>1</v>
      </c>
      <c r="B998" s="92">
        <f>SUBTOTAL(103,$A$942:A998)</f>
        <v>57</v>
      </c>
      <c r="C998" s="91" t="s">
        <v>626</v>
      </c>
      <c r="D998" s="126" t="s">
        <v>379</v>
      </c>
      <c r="E998" s="126"/>
      <c r="F998" s="145" t="s">
        <v>319</v>
      </c>
      <c r="G998" s="126" t="s">
        <v>360</v>
      </c>
      <c r="H998" s="126">
        <v>5</v>
      </c>
      <c r="I998" s="117">
        <v>5067.1000000000004</v>
      </c>
      <c r="J998" s="117">
        <v>3815.6</v>
      </c>
      <c r="K998" s="117">
        <v>3768.9</v>
      </c>
      <c r="L998" s="127">
        <v>158</v>
      </c>
      <c r="M998" s="126" t="s">
        <v>271</v>
      </c>
      <c r="N998" s="126" t="s">
        <v>275</v>
      </c>
      <c r="O998" s="124" t="s">
        <v>1352</v>
      </c>
      <c r="P998" s="118">
        <v>4460834.87</v>
      </c>
      <c r="Q998" s="118">
        <v>0</v>
      </c>
      <c r="R998" s="118">
        <v>0</v>
      </c>
      <c r="S998" s="118">
        <f t="shared" si="137"/>
        <v>4460834.87</v>
      </c>
      <c r="T998" s="118">
        <f t="shared" si="146"/>
        <v>880.35264155039363</v>
      </c>
      <c r="U998" s="118">
        <f t="shared" si="145"/>
        <v>993.17356081387766</v>
      </c>
      <c r="V998" s="183">
        <f t="shared" si="140"/>
        <v>112.82091926348403</v>
      </c>
      <c r="W998" s="183"/>
      <c r="X998" s="183"/>
      <c r="Y998" s="64">
        <f t="shared" si="141"/>
        <v>993.17356081387766</v>
      </c>
      <c r="AA998" s="64">
        <f t="shared" si="142"/>
        <v>963.75</v>
      </c>
      <c r="AH998" s="64" t="e">
        <f t="shared" si="143"/>
        <v>#N/A</v>
      </c>
      <c r="AS998" s="64" t="e">
        <f t="shared" si="144"/>
        <v>#N/A</v>
      </c>
    </row>
    <row r="999" spans="1:45" s="64" customFormat="1" ht="36" customHeight="1" x14ac:dyDescent="0.9">
      <c r="A999" s="64">
        <v>1</v>
      </c>
      <c r="B999" s="92">
        <f>SUBTOTAL(103,$A$942:A999)</f>
        <v>58</v>
      </c>
      <c r="C999" s="91" t="s">
        <v>507</v>
      </c>
      <c r="D999" s="126">
        <v>1995</v>
      </c>
      <c r="E999" s="126"/>
      <c r="F999" s="145" t="s">
        <v>273</v>
      </c>
      <c r="G999" s="126">
        <v>9</v>
      </c>
      <c r="H999" s="126">
        <v>1</v>
      </c>
      <c r="I999" s="117">
        <v>6176.6</v>
      </c>
      <c r="J999" s="117">
        <v>4705.1000000000004</v>
      </c>
      <c r="K999" s="117">
        <v>4301.8999999999996</v>
      </c>
      <c r="L999" s="127">
        <v>360</v>
      </c>
      <c r="M999" s="126" t="s">
        <v>271</v>
      </c>
      <c r="N999" s="126" t="s">
        <v>275</v>
      </c>
      <c r="O999" s="124" t="s">
        <v>1102</v>
      </c>
      <c r="P999" s="118">
        <v>2100000</v>
      </c>
      <c r="Q999" s="118">
        <v>0</v>
      </c>
      <c r="R999" s="118">
        <v>0</v>
      </c>
      <c r="S999" s="118">
        <f t="shared" si="137"/>
        <v>2100000</v>
      </c>
      <c r="T999" s="118">
        <f t="shared" si="146"/>
        <v>339.99287633973381</v>
      </c>
      <c r="U999" s="118">
        <f>AR999</f>
        <v>357.38318816177184</v>
      </c>
      <c r="V999" s="183">
        <f t="shared" si="140"/>
        <v>17.390311822038029</v>
      </c>
      <c r="W999" s="183"/>
      <c r="X999" s="183"/>
      <c r="Y999" s="64">
        <f t="shared" si="141"/>
        <v>862.32490366868501</v>
      </c>
      <c r="AA999" s="64">
        <f t="shared" si="142"/>
        <v>1020</v>
      </c>
      <c r="AH999" s="64" t="e">
        <f t="shared" si="143"/>
        <v>#N/A</v>
      </c>
      <c r="AR999" s="64">
        <f>AS999*2207413/I999</f>
        <v>357.38318816177184</v>
      </c>
      <c r="AS999" s="64">
        <f t="shared" si="144"/>
        <v>1</v>
      </c>
    </row>
    <row r="1000" spans="1:45" s="64" customFormat="1" ht="36" customHeight="1" x14ac:dyDescent="0.9">
      <c r="A1000" s="64">
        <v>1</v>
      </c>
      <c r="B1000" s="92">
        <f>SUBTOTAL(103,$A$942:A1000)</f>
        <v>59</v>
      </c>
      <c r="C1000" s="91" t="s">
        <v>1097</v>
      </c>
      <c r="D1000" s="126">
        <v>1990</v>
      </c>
      <c r="E1000" s="126"/>
      <c r="F1000" s="145" t="s">
        <v>273</v>
      </c>
      <c r="G1000" s="126">
        <v>9</v>
      </c>
      <c r="H1000" s="126">
        <v>4</v>
      </c>
      <c r="I1000" s="117">
        <v>11085.8</v>
      </c>
      <c r="J1000" s="117">
        <v>9319.2999999999993</v>
      </c>
      <c r="K1000" s="117">
        <v>5667.8</v>
      </c>
      <c r="L1000" s="127">
        <v>446</v>
      </c>
      <c r="M1000" s="126" t="s">
        <v>271</v>
      </c>
      <c r="N1000" s="126" t="s">
        <v>275</v>
      </c>
      <c r="O1000" s="124" t="s">
        <v>1104</v>
      </c>
      <c r="P1000" s="118">
        <v>6300000</v>
      </c>
      <c r="Q1000" s="118">
        <v>0</v>
      </c>
      <c r="R1000" s="118">
        <v>0</v>
      </c>
      <c r="S1000" s="118">
        <f t="shared" si="137"/>
        <v>6300000</v>
      </c>
      <c r="T1000" s="118">
        <f>P1000/I1155</f>
        <v>2519.093126474469</v>
      </c>
      <c r="U1000" s="118">
        <f>T1000</f>
        <v>2519.093126474469</v>
      </c>
      <c r="V1000" s="183">
        <f t="shared" si="140"/>
        <v>0</v>
      </c>
      <c r="W1000" s="183"/>
      <c r="X1000" s="183"/>
      <c r="Y1000" s="64" t="e">
        <f t="shared" si="141"/>
        <v>#N/A</v>
      </c>
      <c r="AA1000" s="64" t="e">
        <f t="shared" si="142"/>
        <v>#N/A</v>
      </c>
      <c r="AH1000" s="64" t="e">
        <f t="shared" si="143"/>
        <v>#N/A</v>
      </c>
      <c r="AR1000" s="64">
        <f>AS1000*2207413/I1000</f>
        <v>597.36230132241246</v>
      </c>
      <c r="AS1000" s="64">
        <f t="shared" si="144"/>
        <v>3</v>
      </c>
    </row>
    <row r="1001" spans="1:45" s="64" customFormat="1" ht="36" customHeight="1" x14ac:dyDescent="0.9">
      <c r="B1001" s="91" t="s">
        <v>781</v>
      </c>
      <c r="C1001" s="172"/>
      <c r="D1001" s="126" t="s">
        <v>916</v>
      </c>
      <c r="E1001" s="126" t="s">
        <v>916</v>
      </c>
      <c r="F1001" s="126" t="s">
        <v>916</v>
      </c>
      <c r="G1001" s="126" t="s">
        <v>916</v>
      </c>
      <c r="H1001" s="126" t="s">
        <v>916</v>
      </c>
      <c r="I1001" s="117">
        <f>SUM(I1002:I1015)</f>
        <v>15288.199999999999</v>
      </c>
      <c r="J1001" s="117">
        <f>SUM(J1002:J1015)</f>
        <v>14328.2</v>
      </c>
      <c r="K1001" s="117">
        <f>SUM(K1002:K1015)</f>
        <v>13096.3</v>
      </c>
      <c r="L1001" s="127">
        <f>SUM(L1002:L1015)</f>
        <v>768</v>
      </c>
      <c r="M1001" s="126" t="s">
        <v>916</v>
      </c>
      <c r="N1001" s="126" t="s">
        <v>916</v>
      </c>
      <c r="O1001" s="124" t="s">
        <v>916</v>
      </c>
      <c r="P1001" s="117">
        <v>45048314.759999998</v>
      </c>
      <c r="Q1001" s="117">
        <f>SUM(Q1002:Q1015)</f>
        <v>0</v>
      </c>
      <c r="R1001" s="117">
        <f>SUM(R1002:R1015)</f>
        <v>0</v>
      </c>
      <c r="S1001" s="117">
        <f>SUM(S1002:S1015)</f>
        <v>45048314.759999998</v>
      </c>
      <c r="T1001" s="118">
        <f t="shared" si="146"/>
        <v>2946.6068444944467</v>
      </c>
      <c r="U1001" s="118">
        <f>MAX(U1002:U1015)</f>
        <v>7375.5768730650161</v>
      </c>
      <c r="V1001" s="183">
        <f t="shared" si="140"/>
        <v>4428.9700285705694</v>
      </c>
      <c r="W1001" s="183"/>
      <c r="X1001" s="183"/>
      <c r="Y1001" s="64" t="e">
        <f t="shared" si="141"/>
        <v>#N/A</v>
      </c>
      <c r="AA1001" s="64" t="e">
        <f t="shared" si="142"/>
        <v>#N/A</v>
      </c>
      <c r="AH1001" s="64" t="e">
        <f t="shared" si="143"/>
        <v>#N/A</v>
      </c>
      <c r="AS1001" s="64" t="e">
        <f t="shared" si="144"/>
        <v>#N/A</v>
      </c>
    </row>
    <row r="1002" spans="1:45" s="64" customFormat="1" ht="36" customHeight="1" x14ac:dyDescent="0.9">
      <c r="A1002" s="64">
        <v>1</v>
      </c>
      <c r="B1002" s="92">
        <f>SUBTOTAL(103,$A$942:A1002)</f>
        <v>60</v>
      </c>
      <c r="C1002" s="91" t="s">
        <v>477</v>
      </c>
      <c r="D1002" s="126">
        <v>1962</v>
      </c>
      <c r="E1002" s="126"/>
      <c r="F1002" s="145" t="s">
        <v>273</v>
      </c>
      <c r="G1002" s="126">
        <v>2</v>
      </c>
      <c r="H1002" s="126">
        <v>2</v>
      </c>
      <c r="I1002" s="117">
        <v>835.9</v>
      </c>
      <c r="J1002" s="117">
        <v>784.2</v>
      </c>
      <c r="K1002" s="117">
        <v>715.8</v>
      </c>
      <c r="L1002" s="127">
        <v>47</v>
      </c>
      <c r="M1002" s="126" t="s">
        <v>271</v>
      </c>
      <c r="N1002" s="126" t="s">
        <v>272</v>
      </c>
      <c r="O1002" s="124" t="s">
        <v>274</v>
      </c>
      <c r="P1002" s="118">
        <v>3951259.39</v>
      </c>
      <c r="Q1002" s="118">
        <v>0</v>
      </c>
      <c r="R1002" s="118">
        <v>0</v>
      </c>
      <c r="S1002" s="118">
        <f t="shared" ref="S1002:S1014" si="147">P1002-Q1002-R1002</f>
        <v>3951259.39</v>
      </c>
      <c r="T1002" s="118">
        <f t="shared" si="146"/>
        <v>4726.9522550544325</v>
      </c>
      <c r="U1002" s="118">
        <f>T1002</f>
        <v>4726.9522550544325</v>
      </c>
      <c r="V1002" s="183">
        <f t="shared" si="140"/>
        <v>0</v>
      </c>
      <c r="W1002" s="183"/>
      <c r="X1002" s="183"/>
      <c r="Y1002" s="64">
        <f t="shared" si="141"/>
        <v>4050.5025960043072</v>
      </c>
      <c r="AA1002" s="64">
        <f t="shared" si="142"/>
        <v>648.4</v>
      </c>
      <c r="AH1002" s="64" t="e">
        <f t="shared" si="143"/>
        <v>#N/A</v>
      </c>
      <c r="AS1002" s="64" t="e">
        <f t="shared" si="144"/>
        <v>#N/A</v>
      </c>
    </row>
    <row r="1003" spans="1:45" s="64" customFormat="1" ht="36" customHeight="1" x14ac:dyDescent="0.9">
      <c r="A1003" s="64">
        <v>1</v>
      </c>
      <c r="B1003" s="92">
        <f>SUBTOTAL(103,$A$942:A1003)</f>
        <v>61</v>
      </c>
      <c r="C1003" s="91" t="s">
        <v>478</v>
      </c>
      <c r="D1003" s="126">
        <v>1959</v>
      </c>
      <c r="E1003" s="126"/>
      <c r="F1003" s="145" t="s">
        <v>273</v>
      </c>
      <c r="G1003" s="126">
        <v>2</v>
      </c>
      <c r="H1003" s="126">
        <v>2</v>
      </c>
      <c r="I1003" s="117">
        <v>611</v>
      </c>
      <c r="J1003" s="117">
        <v>564.20000000000005</v>
      </c>
      <c r="K1003" s="117">
        <v>492.1</v>
      </c>
      <c r="L1003" s="127">
        <v>36</v>
      </c>
      <c r="M1003" s="126" t="s">
        <v>271</v>
      </c>
      <c r="N1003" s="126" t="s">
        <v>275</v>
      </c>
      <c r="O1003" s="124" t="s">
        <v>354</v>
      </c>
      <c r="P1003" s="118">
        <v>2999201</v>
      </c>
      <c r="Q1003" s="118">
        <v>0</v>
      </c>
      <c r="R1003" s="118">
        <v>0</v>
      </c>
      <c r="S1003" s="118">
        <f t="shared" si="147"/>
        <v>2999201</v>
      </c>
      <c r="T1003" s="118">
        <f t="shared" si="146"/>
        <v>4908.675941080196</v>
      </c>
      <c r="U1003" s="118">
        <f>T1003</f>
        <v>4908.675941080196</v>
      </c>
      <c r="V1003" s="183">
        <f t="shared" si="140"/>
        <v>0</v>
      </c>
      <c r="W1003" s="183"/>
      <c r="X1003" s="183"/>
      <c r="Y1003" s="64">
        <f t="shared" si="141"/>
        <v>4674.8356792144032</v>
      </c>
      <c r="AA1003" s="64">
        <f t="shared" si="142"/>
        <v>547</v>
      </c>
      <c r="AH1003" s="64" t="e">
        <f t="shared" si="143"/>
        <v>#N/A</v>
      </c>
      <c r="AS1003" s="64" t="e">
        <f t="shared" si="144"/>
        <v>#N/A</v>
      </c>
    </row>
    <row r="1004" spans="1:45" s="64" customFormat="1" ht="36" customHeight="1" x14ac:dyDescent="0.9">
      <c r="A1004" s="64">
        <v>1</v>
      </c>
      <c r="B1004" s="92">
        <f>SUBTOTAL(103,$A$942:A1004)</f>
        <v>62</v>
      </c>
      <c r="C1004" s="91" t="s">
        <v>479</v>
      </c>
      <c r="D1004" s="126">
        <v>1960</v>
      </c>
      <c r="E1004" s="126"/>
      <c r="F1004" s="145" t="s">
        <v>273</v>
      </c>
      <c r="G1004" s="126">
        <v>2</v>
      </c>
      <c r="H1004" s="126">
        <v>2</v>
      </c>
      <c r="I1004" s="117">
        <v>551.9</v>
      </c>
      <c r="J1004" s="117">
        <v>506.9</v>
      </c>
      <c r="K1004" s="117">
        <v>404</v>
      </c>
      <c r="L1004" s="127">
        <v>27</v>
      </c>
      <c r="M1004" s="126" t="s">
        <v>271</v>
      </c>
      <c r="N1004" s="126" t="s">
        <v>289</v>
      </c>
      <c r="O1004" s="124" t="s">
        <v>274</v>
      </c>
      <c r="P1004" s="118">
        <v>2584541.12</v>
      </c>
      <c r="Q1004" s="118">
        <v>0</v>
      </c>
      <c r="R1004" s="118">
        <v>0</v>
      </c>
      <c r="S1004" s="118">
        <f t="shared" si="147"/>
        <v>2584541.12</v>
      </c>
      <c r="T1004" s="118">
        <f t="shared" si="146"/>
        <v>4682.9880775502816</v>
      </c>
      <c r="U1004" s="118">
        <f>T1004</f>
        <v>4682.9880775502816</v>
      </c>
      <c r="V1004" s="183">
        <f t="shared" si="140"/>
        <v>0</v>
      </c>
      <c r="W1004" s="183"/>
      <c r="X1004" s="183"/>
      <c r="Y1004" s="64">
        <f t="shared" si="141"/>
        <v>4666.4101467657192</v>
      </c>
      <c r="AA1004" s="64">
        <f t="shared" si="142"/>
        <v>493.2</v>
      </c>
      <c r="AH1004" s="64" t="e">
        <f t="shared" si="143"/>
        <v>#N/A</v>
      </c>
      <c r="AS1004" s="64" t="e">
        <f t="shared" si="144"/>
        <v>#N/A</v>
      </c>
    </row>
    <row r="1005" spans="1:45" s="64" customFormat="1" ht="36" customHeight="1" x14ac:dyDescent="0.9">
      <c r="A1005" s="64">
        <v>1</v>
      </c>
      <c r="B1005" s="92">
        <f>SUBTOTAL(103,$A$942:A1005)</f>
        <v>63</v>
      </c>
      <c r="C1005" s="91" t="s">
        <v>480</v>
      </c>
      <c r="D1005" s="126">
        <v>1968</v>
      </c>
      <c r="E1005" s="126"/>
      <c r="F1005" s="145" t="s">
        <v>273</v>
      </c>
      <c r="G1005" s="126">
        <v>5</v>
      </c>
      <c r="H1005" s="126">
        <v>4</v>
      </c>
      <c r="I1005" s="117">
        <v>3425.4</v>
      </c>
      <c r="J1005" s="117">
        <v>3171</v>
      </c>
      <c r="K1005" s="117">
        <v>2995.5</v>
      </c>
      <c r="L1005" s="127">
        <v>208</v>
      </c>
      <c r="M1005" s="126" t="s">
        <v>271</v>
      </c>
      <c r="N1005" s="126" t="s">
        <v>272</v>
      </c>
      <c r="O1005" s="124" t="s">
        <v>274</v>
      </c>
      <c r="P1005" s="118">
        <v>6581549.3999999994</v>
      </c>
      <c r="Q1005" s="118">
        <v>0</v>
      </c>
      <c r="R1005" s="118">
        <v>0</v>
      </c>
      <c r="S1005" s="118">
        <f t="shared" si="147"/>
        <v>6581549.3999999994</v>
      </c>
      <c r="T1005" s="118">
        <f t="shared" si="146"/>
        <v>1921.3958661762128</v>
      </c>
      <c r="U1005" s="118">
        <f>T1005</f>
        <v>1921.3958661762128</v>
      </c>
      <c r="V1005" s="183">
        <f t="shared" si="140"/>
        <v>0</v>
      </c>
      <c r="W1005" s="183"/>
      <c r="X1005" s="183"/>
      <c r="Y1005" s="64">
        <f t="shared" si="141"/>
        <v>1722.6116657908565</v>
      </c>
      <c r="AA1005" s="64">
        <f t="shared" si="142"/>
        <v>1130</v>
      </c>
      <c r="AH1005" s="64" t="e">
        <f t="shared" si="143"/>
        <v>#N/A</v>
      </c>
      <c r="AS1005" s="64" t="e">
        <f t="shared" si="144"/>
        <v>#N/A</v>
      </c>
    </row>
    <row r="1006" spans="1:45" s="64" customFormat="1" ht="36" customHeight="1" x14ac:dyDescent="0.9">
      <c r="A1006" s="64">
        <v>1</v>
      </c>
      <c r="B1006" s="92">
        <f>SUBTOTAL(103,$A$942:A1006)</f>
        <v>64</v>
      </c>
      <c r="C1006" s="91" t="s">
        <v>481</v>
      </c>
      <c r="D1006" s="126">
        <v>1966</v>
      </c>
      <c r="E1006" s="126"/>
      <c r="F1006" s="145" t="s">
        <v>273</v>
      </c>
      <c r="G1006" s="126">
        <v>5</v>
      </c>
      <c r="H1006" s="126">
        <v>3</v>
      </c>
      <c r="I1006" s="117">
        <v>2555.3000000000002</v>
      </c>
      <c r="J1006" s="117">
        <v>2523.1</v>
      </c>
      <c r="K1006" s="117">
        <v>2195.4</v>
      </c>
      <c r="L1006" s="127">
        <v>137</v>
      </c>
      <c r="M1006" s="126" t="s">
        <v>271</v>
      </c>
      <c r="N1006" s="126" t="s">
        <v>272</v>
      </c>
      <c r="O1006" s="124" t="s">
        <v>274</v>
      </c>
      <c r="P1006" s="118">
        <v>4737312</v>
      </c>
      <c r="Q1006" s="118">
        <v>0</v>
      </c>
      <c r="R1006" s="118">
        <v>0</v>
      </c>
      <c r="S1006" s="118">
        <f t="shared" si="147"/>
        <v>4737312</v>
      </c>
      <c r="T1006" s="118">
        <f t="shared" si="146"/>
        <v>1853.9161742261181</v>
      </c>
      <c r="U1006" s="118">
        <f>T1006</f>
        <v>1853.9161742261181</v>
      </c>
      <c r="V1006" s="183">
        <f t="shared" si="140"/>
        <v>0</v>
      </c>
      <c r="W1006" s="183"/>
      <c r="X1006" s="183"/>
      <c r="Y1006" s="64">
        <f t="shared" si="141"/>
        <v>1765.5990294681642</v>
      </c>
      <c r="AA1006" s="64">
        <f t="shared" si="142"/>
        <v>864</v>
      </c>
      <c r="AH1006" s="64" t="e">
        <f t="shared" si="143"/>
        <v>#N/A</v>
      </c>
      <c r="AS1006" s="64" t="e">
        <f t="shared" si="144"/>
        <v>#N/A</v>
      </c>
    </row>
    <row r="1007" spans="1:45" s="64" customFormat="1" ht="36" customHeight="1" x14ac:dyDescent="0.9">
      <c r="A1007" s="64">
        <v>1</v>
      </c>
      <c r="B1007" s="92">
        <f>SUBTOTAL(103,$A$942:A1007)</f>
        <v>65</v>
      </c>
      <c r="C1007" s="91" t="s">
        <v>482</v>
      </c>
      <c r="D1007" s="126">
        <v>1964</v>
      </c>
      <c r="E1007" s="126">
        <v>2008</v>
      </c>
      <c r="F1007" s="145" t="s">
        <v>273</v>
      </c>
      <c r="G1007" s="126">
        <v>4</v>
      </c>
      <c r="H1007" s="126">
        <v>2</v>
      </c>
      <c r="I1007" s="117">
        <v>1368.5</v>
      </c>
      <c r="J1007" s="117">
        <v>1271.5</v>
      </c>
      <c r="K1007" s="117">
        <v>1271.5</v>
      </c>
      <c r="L1007" s="127">
        <v>43</v>
      </c>
      <c r="M1007" s="126" t="s">
        <v>271</v>
      </c>
      <c r="N1007" s="126" t="s">
        <v>352</v>
      </c>
      <c r="O1007" s="124" t="s">
        <v>353</v>
      </c>
      <c r="P1007" s="118">
        <v>491510.45999999996</v>
      </c>
      <c r="Q1007" s="118">
        <v>0</v>
      </c>
      <c r="R1007" s="118">
        <v>0</v>
      </c>
      <c r="S1007" s="118">
        <f t="shared" si="147"/>
        <v>491510.45999999996</v>
      </c>
      <c r="T1007" s="118">
        <f t="shared" si="146"/>
        <v>359.15999999999997</v>
      </c>
      <c r="U1007" s="118">
        <v>359.15999999999997</v>
      </c>
      <c r="V1007" s="183">
        <f t="shared" si="140"/>
        <v>0</v>
      </c>
      <c r="W1007" s="183"/>
      <c r="X1007" s="183"/>
      <c r="Y1007" s="64" t="e">
        <f t="shared" si="141"/>
        <v>#N/A</v>
      </c>
      <c r="AA1007" s="64" t="e">
        <f t="shared" si="142"/>
        <v>#N/A</v>
      </c>
      <c r="AH1007" s="64" t="e">
        <f t="shared" si="143"/>
        <v>#N/A</v>
      </c>
      <c r="AS1007" s="64" t="e">
        <f t="shared" si="144"/>
        <v>#N/A</v>
      </c>
    </row>
    <row r="1008" spans="1:45" s="64" customFormat="1" ht="36" customHeight="1" x14ac:dyDescent="0.9">
      <c r="A1008" s="64">
        <v>1</v>
      </c>
      <c r="B1008" s="92">
        <f>SUBTOTAL(103,$A$942:A1008)</f>
        <v>66</v>
      </c>
      <c r="C1008" s="91" t="s">
        <v>483</v>
      </c>
      <c r="D1008" s="126">
        <v>1960</v>
      </c>
      <c r="E1008" s="126"/>
      <c r="F1008" s="145" t="s">
        <v>273</v>
      </c>
      <c r="G1008" s="126">
        <v>2</v>
      </c>
      <c r="H1008" s="126">
        <v>2</v>
      </c>
      <c r="I1008" s="117">
        <v>694.3</v>
      </c>
      <c r="J1008" s="117">
        <v>646.1</v>
      </c>
      <c r="K1008" s="117">
        <v>646.1</v>
      </c>
      <c r="L1008" s="127">
        <v>42</v>
      </c>
      <c r="M1008" s="126" t="s">
        <v>271</v>
      </c>
      <c r="N1008" s="126" t="s">
        <v>272</v>
      </c>
      <c r="O1008" s="124" t="s">
        <v>274</v>
      </c>
      <c r="P1008" s="118">
        <v>3422817.5799999996</v>
      </c>
      <c r="Q1008" s="118">
        <v>0</v>
      </c>
      <c r="R1008" s="118">
        <v>0</v>
      </c>
      <c r="S1008" s="118">
        <f t="shared" si="147"/>
        <v>3422817.5799999996</v>
      </c>
      <c r="T1008" s="118">
        <f t="shared" si="146"/>
        <v>4929.8827308080081</v>
      </c>
      <c r="U1008" s="118">
        <f t="shared" ref="U1008:U1015" si="148">T1008</f>
        <v>4929.8827308080081</v>
      </c>
      <c r="V1008" s="183">
        <f t="shared" si="140"/>
        <v>0</v>
      </c>
      <c r="W1008" s="183"/>
      <c r="X1008" s="183"/>
      <c r="Y1008" s="64">
        <f t="shared" si="141"/>
        <v>4695.0322166210581</v>
      </c>
      <c r="AA1008" s="64">
        <f t="shared" si="142"/>
        <v>624.26</v>
      </c>
      <c r="AH1008" s="64" t="e">
        <f t="shared" si="143"/>
        <v>#N/A</v>
      </c>
      <c r="AS1008" s="64" t="e">
        <f t="shared" si="144"/>
        <v>#N/A</v>
      </c>
    </row>
    <row r="1009" spans="1:45" s="64" customFormat="1" ht="36" customHeight="1" x14ac:dyDescent="0.9">
      <c r="A1009" s="64">
        <v>1</v>
      </c>
      <c r="B1009" s="92">
        <f>SUBTOTAL(103,$A$942:A1009)</f>
        <v>67</v>
      </c>
      <c r="C1009" s="91" t="s">
        <v>484</v>
      </c>
      <c r="D1009" s="126">
        <v>1961</v>
      </c>
      <c r="E1009" s="126"/>
      <c r="F1009" s="145" t="s">
        <v>273</v>
      </c>
      <c r="G1009" s="126">
        <v>2</v>
      </c>
      <c r="H1009" s="126">
        <v>2</v>
      </c>
      <c r="I1009" s="117">
        <v>579.4</v>
      </c>
      <c r="J1009" s="117">
        <v>538.1</v>
      </c>
      <c r="K1009" s="117">
        <v>470.3</v>
      </c>
      <c r="L1009" s="127">
        <v>35</v>
      </c>
      <c r="M1009" s="126" t="s">
        <v>271</v>
      </c>
      <c r="N1009" s="126" t="s">
        <v>289</v>
      </c>
      <c r="O1009" s="124" t="s">
        <v>274</v>
      </c>
      <c r="P1009" s="118">
        <v>2888444.4</v>
      </c>
      <c r="Q1009" s="118">
        <v>0</v>
      </c>
      <c r="R1009" s="118">
        <v>0</v>
      </c>
      <c r="S1009" s="118">
        <f t="shared" si="147"/>
        <v>2888444.4</v>
      </c>
      <c r="T1009" s="118">
        <f t="shared" si="146"/>
        <v>4985.2336900241626</v>
      </c>
      <c r="U1009" s="118">
        <f t="shared" si="148"/>
        <v>4985.2336900241626</v>
      </c>
      <c r="V1009" s="183">
        <f t="shared" si="140"/>
        <v>0</v>
      </c>
      <c r="W1009" s="183"/>
      <c r="X1009" s="183"/>
      <c r="Y1009" s="64">
        <f t="shared" si="141"/>
        <v>4747.7463583016915</v>
      </c>
      <c r="AA1009" s="64">
        <f t="shared" si="142"/>
        <v>526.79999999999995</v>
      </c>
      <c r="AH1009" s="64" t="e">
        <f t="shared" si="143"/>
        <v>#N/A</v>
      </c>
      <c r="AS1009" s="64" t="e">
        <f t="shared" si="144"/>
        <v>#N/A</v>
      </c>
    </row>
    <row r="1010" spans="1:45" s="64" customFormat="1" ht="36" customHeight="1" x14ac:dyDescent="0.9">
      <c r="A1010" s="64">
        <v>1</v>
      </c>
      <c r="B1010" s="92">
        <f>SUBTOTAL(103,$A$942:A1010)</f>
        <v>68</v>
      </c>
      <c r="C1010" s="91" t="s">
        <v>485</v>
      </c>
      <c r="D1010" s="126">
        <v>1960</v>
      </c>
      <c r="E1010" s="126"/>
      <c r="F1010" s="145" t="s">
        <v>273</v>
      </c>
      <c r="G1010" s="126">
        <v>2</v>
      </c>
      <c r="H1010" s="126">
        <v>2</v>
      </c>
      <c r="I1010" s="117">
        <v>591.29999999999995</v>
      </c>
      <c r="J1010" s="117">
        <v>542.9</v>
      </c>
      <c r="K1010" s="117">
        <v>477.6</v>
      </c>
      <c r="L1010" s="127">
        <v>27</v>
      </c>
      <c r="M1010" s="126" t="s">
        <v>271</v>
      </c>
      <c r="N1010" s="126" t="s">
        <v>272</v>
      </c>
      <c r="O1010" s="124" t="s">
        <v>274</v>
      </c>
      <c r="P1010" s="118">
        <v>3422817.5799999996</v>
      </c>
      <c r="Q1010" s="118">
        <v>0</v>
      </c>
      <c r="R1010" s="118">
        <v>0</v>
      </c>
      <c r="S1010" s="118">
        <f t="shared" si="147"/>
        <v>3422817.5799999996</v>
      </c>
      <c r="T1010" s="118">
        <f t="shared" si="146"/>
        <v>5788.6311178758669</v>
      </c>
      <c r="U1010" s="118">
        <f t="shared" si="148"/>
        <v>5788.6311178758669</v>
      </c>
      <c r="V1010" s="183">
        <f t="shared" si="140"/>
        <v>0</v>
      </c>
      <c r="W1010" s="183"/>
      <c r="X1010" s="183"/>
      <c r="Y1010" s="64">
        <f t="shared" si="141"/>
        <v>5512.8714155251146</v>
      </c>
      <c r="AA1010" s="64">
        <f t="shared" si="142"/>
        <v>624.26</v>
      </c>
      <c r="AH1010" s="64" t="e">
        <f t="shared" si="143"/>
        <v>#N/A</v>
      </c>
      <c r="AS1010" s="64" t="e">
        <f t="shared" si="144"/>
        <v>#N/A</v>
      </c>
    </row>
    <row r="1011" spans="1:45" s="64" customFormat="1" ht="36" customHeight="1" x14ac:dyDescent="0.9">
      <c r="A1011" s="64">
        <v>1</v>
      </c>
      <c r="B1011" s="92">
        <f>SUBTOTAL(103,$A$942:A1011)</f>
        <v>69</v>
      </c>
      <c r="C1011" s="91" t="s">
        <v>486</v>
      </c>
      <c r="D1011" s="126">
        <v>1962</v>
      </c>
      <c r="E1011" s="126"/>
      <c r="F1011" s="145" t="s">
        <v>273</v>
      </c>
      <c r="G1011" s="126">
        <v>2</v>
      </c>
      <c r="H1011" s="126">
        <v>2</v>
      </c>
      <c r="I1011" s="117">
        <v>588.1</v>
      </c>
      <c r="J1011" s="117">
        <v>540</v>
      </c>
      <c r="K1011" s="117">
        <v>500</v>
      </c>
      <c r="L1011" s="127">
        <v>26</v>
      </c>
      <c r="M1011" s="126" t="s">
        <v>271</v>
      </c>
      <c r="N1011" s="126" t="s">
        <v>272</v>
      </c>
      <c r="O1011" s="124" t="s">
        <v>274</v>
      </c>
      <c r="P1011" s="118">
        <v>3106903.4</v>
      </c>
      <c r="Q1011" s="118">
        <v>0</v>
      </c>
      <c r="R1011" s="118">
        <v>0</v>
      </c>
      <c r="S1011" s="118">
        <f t="shared" si="147"/>
        <v>3106903.4</v>
      </c>
      <c r="T1011" s="118">
        <f t="shared" si="146"/>
        <v>5282.9508586974998</v>
      </c>
      <c r="U1011" s="118">
        <f t="shared" si="148"/>
        <v>5282.9508586974998</v>
      </c>
      <c r="V1011" s="183">
        <f t="shared" si="140"/>
        <v>0</v>
      </c>
      <c r="W1011" s="183"/>
      <c r="X1011" s="183"/>
      <c r="Y1011" s="64">
        <f t="shared" si="141"/>
        <v>4837.7788301309311</v>
      </c>
      <c r="AA1011" s="64">
        <f t="shared" si="142"/>
        <v>544.85</v>
      </c>
      <c r="AH1011" s="64" t="e">
        <f t="shared" si="143"/>
        <v>#N/A</v>
      </c>
      <c r="AS1011" s="64" t="e">
        <f t="shared" si="144"/>
        <v>#N/A</v>
      </c>
    </row>
    <row r="1012" spans="1:45" s="64" customFormat="1" ht="36" customHeight="1" x14ac:dyDescent="0.9">
      <c r="A1012" s="64">
        <v>1</v>
      </c>
      <c r="B1012" s="92">
        <f>SUBTOTAL(103,$A$942:A1012)</f>
        <v>70</v>
      </c>
      <c r="C1012" s="91" t="s">
        <v>487</v>
      </c>
      <c r="D1012" s="126">
        <v>1958</v>
      </c>
      <c r="E1012" s="126"/>
      <c r="F1012" s="145" t="s">
        <v>273</v>
      </c>
      <c r="G1012" s="126">
        <v>2</v>
      </c>
      <c r="H1012" s="126">
        <v>1</v>
      </c>
      <c r="I1012" s="117">
        <v>714.4</v>
      </c>
      <c r="J1012" s="117">
        <v>687.7</v>
      </c>
      <c r="K1012" s="117">
        <v>565.79999999999995</v>
      </c>
      <c r="L1012" s="127">
        <v>17</v>
      </c>
      <c r="M1012" s="126" t="s">
        <v>271</v>
      </c>
      <c r="N1012" s="126" t="s">
        <v>349</v>
      </c>
      <c r="O1012" s="124" t="s">
        <v>350</v>
      </c>
      <c r="P1012" s="118">
        <v>2847699.39</v>
      </c>
      <c r="Q1012" s="118">
        <v>0</v>
      </c>
      <c r="R1012" s="118">
        <v>0</v>
      </c>
      <c r="S1012" s="118">
        <f t="shared" si="147"/>
        <v>2847699.39</v>
      </c>
      <c r="T1012" s="118">
        <f t="shared" si="146"/>
        <v>3986.1413633818593</v>
      </c>
      <c r="U1012" s="118">
        <f t="shared" si="148"/>
        <v>3986.1413633818593</v>
      </c>
      <c r="V1012" s="183">
        <f t="shared" si="140"/>
        <v>0</v>
      </c>
      <c r="W1012" s="183"/>
      <c r="X1012" s="183"/>
      <c r="Y1012" s="64">
        <f t="shared" si="141"/>
        <v>3727.7687569988802</v>
      </c>
      <c r="AA1012" s="64">
        <f t="shared" si="142"/>
        <v>510</v>
      </c>
      <c r="AH1012" s="64" t="e">
        <f t="shared" si="143"/>
        <v>#N/A</v>
      </c>
      <c r="AS1012" s="64" t="e">
        <f t="shared" si="144"/>
        <v>#N/A</v>
      </c>
    </row>
    <row r="1013" spans="1:45" s="64" customFormat="1" ht="61.5" x14ac:dyDescent="0.9">
      <c r="A1013" s="64">
        <v>1</v>
      </c>
      <c r="B1013" s="92">
        <f>SUBTOTAL(103,$A$942:A1013)</f>
        <v>71</v>
      </c>
      <c r="C1013" s="91" t="s">
        <v>488</v>
      </c>
      <c r="D1013" s="126">
        <v>1965</v>
      </c>
      <c r="E1013" s="126"/>
      <c r="F1013" s="145" t="s">
        <v>273</v>
      </c>
      <c r="G1013" s="126">
        <v>4</v>
      </c>
      <c r="H1013" s="126">
        <v>3</v>
      </c>
      <c r="I1013" s="117">
        <v>2028.5</v>
      </c>
      <c r="J1013" s="117">
        <v>1881.3</v>
      </c>
      <c r="K1013" s="117">
        <v>1691</v>
      </c>
      <c r="L1013" s="127">
        <v>86</v>
      </c>
      <c r="M1013" s="126" t="s">
        <v>271</v>
      </c>
      <c r="N1013" s="126" t="s">
        <v>275</v>
      </c>
      <c r="O1013" s="124" t="s">
        <v>348</v>
      </c>
      <c r="P1013" s="118">
        <v>3110189.0700000003</v>
      </c>
      <c r="Q1013" s="118">
        <v>0</v>
      </c>
      <c r="R1013" s="118">
        <v>0</v>
      </c>
      <c r="S1013" s="118">
        <f t="shared" si="147"/>
        <v>3110189.0700000003</v>
      </c>
      <c r="T1013" s="118">
        <f t="shared" si="146"/>
        <v>1533.2457825979789</v>
      </c>
      <c r="U1013" s="118">
        <f t="shared" si="148"/>
        <v>1533.2457825979789</v>
      </c>
      <c r="V1013" s="183">
        <f t="shared" si="140"/>
        <v>0</v>
      </c>
      <c r="W1013" s="183"/>
      <c r="X1013" s="183"/>
      <c r="Y1013" s="64">
        <f t="shared" si="141"/>
        <v>1408.0969189055952</v>
      </c>
      <c r="AA1013" s="64">
        <f t="shared" si="142"/>
        <v>547</v>
      </c>
      <c r="AH1013" s="64" t="e">
        <f t="shared" si="143"/>
        <v>#N/A</v>
      </c>
      <c r="AS1013" s="64" t="e">
        <f t="shared" si="144"/>
        <v>#N/A</v>
      </c>
    </row>
    <row r="1014" spans="1:45" s="64" customFormat="1" ht="36" customHeight="1" x14ac:dyDescent="0.9">
      <c r="A1014" s="64">
        <v>1</v>
      </c>
      <c r="B1014" s="92">
        <f>SUBTOTAL(103,$A$942:A1014)</f>
        <v>72</v>
      </c>
      <c r="C1014" s="91" t="s">
        <v>489</v>
      </c>
      <c r="D1014" s="126">
        <v>1951</v>
      </c>
      <c r="E1014" s="126"/>
      <c r="F1014" s="145" t="s">
        <v>332</v>
      </c>
      <c r="G1014" s="126">
        <v>2</v>
      </c>
      <c r="H1014" s="126">
        <v>2</v>
      </c>
      <c r="I1014" s="117">
        <v>421.2</v>
      </c>
      <c r="J1014" s="117">
        <v>379.5</v>
      </c>
      <c r="K1014" s="117">
        <v>379.5</v>
      </c>
      <c r="L1014" s="127">
        <v>21</v>
      </c>
      <c r="M1014" s="126" t="s">
        <v>271</v>
      </c>
      <c r="N1014" s="126" t="s">
        <v>272</v>
      </c>
      <c r="O1014" s="124" t="s">
        <v>274</v>
      </c>
      <c r="P1014" s="118">
        <v>2521758.64</v>
      </c>
      <c r="Q1014" s="118">
        <v>0</v>
      </c>
      <c r="R1014" s="118">
        <v>0</v>
      </c>
      <c r="S1014" s="118">
        <f t="shared" si="147"/>
        <v>2521758.64</v>
      </c>
      <c r="T1014" s="118">
        <f t="shared" si="146"/>
        <v>5987.0812915479582</v>
      </c>
      <c r="U1014" s="118">
        <f t="shared" si="148"/>
        <v>5987.0812915479582</v>
      </c>
      <c r="V1014" s="183">
        <f t="shared" si="140"/>
        <v>0</v>
      </c>
      <c r="W1014" s="183"/>
      <c r="X1014" s="183"/>
      <c r="Y1014" s="64">
        <f t="shared" si="141"/>
        <v>4939.6343589743592</v>
      </c>
      <c r="AA1014" s="64">
        <f t="shared" si="142"/>
        <v>398.44</v>
      </c>
      <c r="AH1014" s="64" t="e">
        <f t="shared" si="143"/>
        <v>#N/A</v>
      </c>
      <c r="AS1014" s="64" t="e">
        <f t="shared" si="144"/>
        <v>#N/A</v>
      </c>
    </row>
    <row r="1015" spans="1:45" s="64" customFormat="1" ht="36" customHeight="1" x14ac:dyDescent="0.9">
      <c r="A1015" s="64">
        <v>1</v>
      </c>
      <c r="B1015" s="92">
        <f>SUBTOTAL(103,$A$942:A1015)</f>
        <v>73</v>
      </c>
      <c r="C1015" s="91" t="s">
        <v>1645</v>
      </c>
      <c r="D1015" s="126">
        <v>1967</v>
      </c>
      <c r="E1015" s="126"/>
      <c r="F1015" s="145" t="s">
        <v>1649</v>
      </c>
      <c r="G1015" s="126">
        <v>2</v>
      </c>
      <c r="H1015" s="126">
        <v>2</v>
      </c>
      <c r="I1015" s="117">
        <v>323</v>
      </c>
      <c r="J1015" s="117">
        <v>291.7</v>
      </c>
      <c r="K1015" s="117">
        <f>J1015</f>
        <v>291.7</v>
      </c>
      <c r="L1015" s="127">
        <v>16</v>
      </c>
      <c r="M1015" s="126" t="s">
        <v>271</v>
      </c>
      <c r="N1015" s="126" t="s">
        <v>272</v>
      </c>
      <c r="O1015" s="124" t="s">
        <v>274</v>
      </c>
      <c r="P1015" s="118">
        <v>2382311.33</v>
      </c>
      <c r="Q1015" s="118">
        <v>0</v>
      </c>
      <c r="R1015" s="118">
        <v>0</v>
      </c>
      <c r="S1015" s="118">
        <f>P1015-Q1015-R1015</f>
        <v>2382311.33</v>
      </c>
      <c r="T1015" s="118">
        <f t="shared" si="146"/>
        <v>7375.5768730650161</v>
      </c>
      <c r="U1015" s="118">
        <f t="shared" si="148"/>
        <v>7375.5768730650161</v>
      </c>
      <c r="V1015" s="183">
        <f t="shared" si="140"/>
        <v>0</v>
      </c>
      <c r="W1015" s="183"/>
      <c r="X1015" s="183"/>
      <c r="Y1015" s="64">
        <f t="shared" si="141"/>
        <v>6534.5249535603716</v>
      </c>
      <c r="AA1015" s="64">
        <f t="shared" si="142"/>
        <v>404.2</v>
      </c>
      <c r="AH1015" s="64" t="e">
        <f t="shared" si="143"/>
        <v>#N/A</v>
      </c>
      <c r="AS1015" s="64" t="e">
        <f t="shared" si="144"/>
        <v>#N/A</v>
      </c>
    </row>
    <row r="1016" spans="1:45" s="64" customFormat="1" ht="36" customHeight="1" x14ac:dyDescent="0.9">
      <c r="B1016" s="91" t="s">
        <v>782</v>
      </c>
      <c r="C1016" s="172"/>
      <c r="D1016" s="126" t="s">
        <v>916</v>
      </c>
      <c r="E1016" s="126" t="s">
        <v>916</v>
      </c>
      <c r="F1016" s="126" t="s">
        <v>916</v>
      </c>
      <c r="G1016" s="126" t="s">
        <v>916</v>
      </c>
      <c r="H1016" s="126" t="s">
        <v>916</v>
      </c>
      <c r="I1016" s="117">
        <f>SUM(I1017:I1043)</f>
        <v>55301.200000000004</v>
      </c>
      <c r="J1016" s="117">
        <f>SUM(J1017:J1043)</f>
        <v>48016.490000000005</v>
      </c>
      <c r="K1016" s="117">
        <f>SUM(K1017:K1043)</f>
        <v>44250.389999999985</v>
      </c>
      <c r="L1016" s="127">
        <f>SUM(L1017:L1043)</f>
        <v>2316</v>
      </c>
      <c r="M1016" s="126" t="s">
        <v>916</v>
      </c>
      <c r="N1016" s="126" t="s">
        <v>916</v>
      </c>
      <c r="O1016" s="124" t="s">
        <v>916</v>
      </c>
      <c r="P1016" s="117">
        <v>91626897.959999993</v>
      </c>
      <c r="Q1016" s="117">
        <f>SUM(Q1017:Q1043)</f>
        <v>0</v>
      </c>
      <c r="R1016" s="117">
        <f>SUM(R1017:R1043)</f>
        <v>0</v>
      </c>
      <c r="S1016" s="117">
        <f>SUM(S1017:S1043)</f>
        <v>91626897.959999993</v>
      </c>
      <c r="T1016" s="118">
        <f t="shared" si="146"/>
        <v>1656.869976781697</v>
      </c>
      <c r="U1016" s="118">
        <f>MAX(U1017:U1043)</f>
        <v>5928.6318427199185</v>
      </c>
      <c r="V1016" s="183">
        <f t="shared" si="140"/>
        <v>4271.7618659382215</v>
      </c>
      <c r="W1016" s="183"/>
      <c r="X1016" s="183"/>
      <c r="Y1016" s="64" t="e">
        <f t="shared" si="141"/>
        <v>#N/A</v>
      </c>
      <c r="AA1016" s="64" t="e">
        <f t="shared" si="142"/>
        <v>#N/A</v>
      </c>
      <c r="AH1016" s="64" t="e">
        <f t="shared" si="143"/>
        <v>#N/A</v>
      </c>
      <c r="AS1016" s="64" t="e">
        <f t="shared" si="144"/>
        <v>#N/A</v>
      </c>
    </row>
    <row r="1017" spans="1:45" s="64" customFormat="1" ht="36" customHeight="1" x14ac:dyDescent="0.9">
      <c r="A1017" s="64">
        <v>1</v>
      </c>
      <c r="B1017" s="92">
        <f>SUBTOTAL(103,$A$942:A1017)</f>
        <v>74</v>
      </c>
      <c r="C1017" s="91" t="s">
        <v>433</v>
      </c>
      <c r="D1017" s="126">
        <v>1959</v>
      </c>
      <c r="E1017" s="126"/>
      <c r="F1017" s="145" t="s">
        <v>273</v>
      </c>
      <c r="G1017" s="126">
        <v>3</v>
      </c>
      <c r="H1017" s="126">
        <v>4</v>
      </c>
      <c r="I1017" s="117">
        <v>2095.6</v>
      </c>
      <c r="J1017" s="117">
        <v>1915.7</v>
      </c>
      <c r="K1017" s="117">
        <v>1915.7</v>
      </c>
      <c r="L1017" s="127">
        <v>69</v>
      </c>
      <c r="M1017" s="126" t="s">
        <v>271</v>
      </c>
      <c r="N1017" s="126" t="s">
        <v>275</v>
      </c>
      <c r="O1017" s="124" t="s">
        <v>333</v>
      </c>
      <c r="P1017" s="118">
        <v>4337224.8899999997</v>
      </c>
      <c r="Q1017" s="118">
        <v>0</v>
      </c>
      <c r="R1017" s="118">
        <v>0</v>
      </c>
      <c r="S1017" s="118">
        <f t="shared" ref="S1017:S1043" si="149">P1017-Q1017-R1017</f>
        <v>4337224.8899999997</v>
      </c>
      <c r="T1017" s="118">
        <f t="shared" si="146"/>
        <v>2069.6816615766365</v>
      </c>
      <c r="U1017" s="118">
        <f>Y1017</f>
        <v>2317.3668639053253</v>
      </c>
      <c r="V1017" s="183">
        <f t="shared" si="140"/>
        <v>247.68520232868877</v>
      </c>
      <c r="W1017" s="183"/>
      <c r="X1017" s="183"/>
      <c r="Y1017" s="64">
        <f t="shared" si="141"/>
        <v>2317.3668639053253</v>
      </c>
      <c r="AA1017" s="64">
        <f t="shared" si="142"/>
        <v>930</v>
      </c>
      <c r="AH1017" s="64" t="e">
        <f t="shared" si="143"/>
        <v>#N/A</v>
      </c>
      <c r="AS1017" s="64" t="e">
        <f t="shared" si="144"/>
        <v>#N/A</v>
      </c>
    </row>
    <row r="1018" spans="1:45" s="64" customFormat="1" ht="36" customHeight="1" x14ac:dyDescent="0.9">
      <c r="A1018" s="64">
        <v>1</v>
      </c>
      <c r="B1018" s="92">
        <f>SUBTOTAL(103,$A$942:A1018)</f>
        <v>75</v>
      </c>
      <c r="C1018" s="91" t="s">
        <v>434</v>
      </c>
      <c r="D1018" s="126">
        <v>1989</v>
      </c>
      <c r="E1018" s="126"/>
      <c r="F1018" s="145" t="s">
        <v>273</v>
      </c>
      <c r="G1018" s="126">
        <v>5</v>
      </c>
      <c r="H1018" s="126">
        <v>3</v>
      </c>
      <c r="I1018" s="117">
        <v>2042.1</v>
      </c>
      <c r="J1018" s="117">
        <v>1708.9</v>
      </c>
      <c r="K1018" s="117">
        <v>1675.9</v>
      </c>
      <c r="L1018" s="127">
        <v>86</v>
      </c>
      <c r="M1018" s="126" t="s">
        <v>271</v>
      </c>
      <c r="N1018" s="126" t="s">
        <v>275</v>
      </c>
      <c r="O1018" s="124" t="s">
        <v>1018</v>
      </c>
      <c r="P1018" s="118">
        <v>2714283.9</v>
      </c>
      <c r="Q1018" s="118">
        <v>0</v>
      </c>
      <c r="R1018" s="118">
        <v>0</v>
      </c>
      <c r="S1018" s="118">
        <f t="shared" si="149"/>
        <v>2714283.9</v>
      </c>
      <c r="T1018" s="118">
        <f t="shared" si="146"/>
        <v>1329.1630674305861</v>
      </c>
      <c r="U1018" s="118">
        <f>Y1018</f>
        <v>1518.9017188188632</v>
      </c>
      <c r="V1018" s="183">
        <f t="shared" si="140"/>
        <v>189.73865138827705</v>
      </c>
      <c r="W1018" s="183"/>
      <c r="X1018" s="183"/>
      <c r="Y1018" s="64">
        <f t="shared" si="141"/>
        <v>1518.9017188188632</v>
      </c>
      <c r="AA1018" s="64">
        <f t="shared" si="142"/>
        <v>594</v>
      </c>
      <c r="AH1018" s="64" t="e">
        <f t="shared" si="143"/>
        <v>#N/A</v>
      </c>
      <c r="AS1018" s="64" t="e">
        <f t="shared" si="144"/>
        <v>#N/A</v>
      </c>
    </row>
    <row r="1019" spans="1:45" s="64" customFormat="1" ht="36" customHeight="1" x14ac:dyDescent="0.9">
      <c r="A1019" s="64">
        <v>1</v>
      </c>
      <c r="B1019" s="92">
        <f>SUBTOTAL(103,$A$942:A1019)</f>
        <v>76</v>
      </c>
      <c r="C1019" s="91" t="s">
        <v>435</v>
      </c>
      <c r="D1019" s="126">
        <v>1972</v>
      </c>
      <c r="E1019" s="126"/>
      <c r="F1019" s="145" t="s">
        <v>273</v>
      </c>
      <c r="G1019" s="126">
        <v>5</v>
      </c>
      <c r="H1019" s="126">
        <v>4</v>
      </c>
      <c r="I1019" s="117">
        <v>3577.12</v>
      </c>
      <c r="J1019" s="117">
        <v>3193.8</v>
      </c>
      <c r="K1019" s="117">
        <v>2940.98</v>
      </c>
      <c r="L1019" s="127">
        <v>152</v>
      </c>
      <c r="M1019" s="126" t="s">
        <v>271</v>
      </c>
      <c r="N1019" s="126" t="s">
        <v>275</v>
      </c>
      <c r="O1019" s="124" t="s">
        <v>336</v>
      </c>
      <c r="P1019" s="118">
        <v>5214319.6899999995</v>
      </c>
      <c r="Q1019" s="118">
        <v>0</v>
      </c>
      <c r="R1019" s="118">
        <v>0</v>
      </c>
      <c r="S1019" s="118">
        <f t="shared" si="149"/>
        <v>5214319.6899999995</v>
      </c>
      <c r="T1019" s="118">
        <f t="shared" si="146"/>
        <v>1457.6865439236033</v>
      </c>
      <c r="U1019" s="118">
        <f>Y1019</f>
        <v>1632.0314666547392</v>
      </c>
      <c r="V1019" s="183">
        <f t="shared" si="140"/>
        <v>174.34492273113597</v>
      </c>
      <c r="W1019" s="183"/>
      <c r="X1019" s="183"/>
      <c r="Y1019" s="64">
        <f t="shared" si="141"/>
        <v>1632.0314666547392</v>
      </c>
      <c r="AA1019" s="64">
        <f t="shared" si="142"/>
        <v>1118</v>
      </c>
      <c r="AH1019" s="64" t="e">
        <f t="shared" si="143"/>
        <v>#N/A</v>
      </c>
      <c r="AS1019" s="64" t="e">
        <f t="shared" si="144"/>
        <v>#N/A</v>
      </c>
    </row>
    <row r="1020" spans="1:45" s="64" customFormat="1" ht="36" customHeight="1" x14ac:dyDescent="0.9">
      <c r="A1020" s="64">
        <v>1</v>
      </c>
      <c r="B1020" s="92">
        <f>SUBTOTAL(103,$A$942:A1020)</f>
        <v>77</v>
      </c>
      <c r="C1020" s="91" t="s">
        <v>436</v>
      </c>
      <c r="D1020" s="126">
        <v>1955</v>
      </c>
      <c r="E1020" s="126"/>
      <c r="F1020" s="145" t="s">
        <v>273</v>
      </c>
      <c r="G1020" s="126">
        <v>2</v>
      </c>
      <c r="H1020" s="126">
        <v>3</v>
      </c>
      <c r="I1020" s="117">
        <v>1501.5</v>
      </c>
      <c r="J1020" s="117">
        <v>1386.8</v>
      </c>
      <c r="K1020" s="117">
        <v>1250.54</v>
      </c>
      <c r="L1020" s="127">
        <v>57</v>
      </c>
      <c r="M1020" s="126" t="s">
        <v>271</v>
      </c>
      <c r="N1020" s="126" t="s">
        <v>275</v>
      </c>
      <c r="O1020" s="124" t="s">
        <v>336</v>
      </c>
      <c r="P1020" s="118">
        <v>5749950</v>
      </c>
      <c r="Q1020" s="118">
        <v>0</v>
      </c>
      <c r="R1020" s="118">
        <v>0</v>
      </c>
      <c r="S1020" s="118">
        <f t="shared" si="149"/>
        <v>5749950</v>
      </c>
      <c r="T1020" s="118">
        <f t="shared" si="146"/>
        <v>3829.4705294705295</v>
      </c>
      <c r="U1020" s="118">
        <f>AG1020</f>
        <v>4687.6276319584658</v>
      </c>
      <c r="V1020" s="183">
        <f t="shared" si="140"/>
        <v>858.1571024879363</v>
      </c>
      <c r="W1020" s="183"/>
      <c r="X1020" s="183"/>
      <c r="Y1020" s="64" t="e">
        <f t="shared" si="141"/>
        <v>#N/A</v>
      </c>
      <c r="AA1020" s="64" t="e">
        <f t="shared" si="142"/>
        <v>#N/A</v>
      </c>
      <c r="AG1020" s="64">
        <f>AH1020*6191.24/J1020</f>
        <v>4687.6276319584658</v>
      </c>
      <c r="AH1020" s="64">
        <f t="shared" si="143"/>
        <v>1050</v>
      </c>
      <c r="AS1020" s="64" t="e">
        <f t="shared" si="144"/>
        <v>#N/A</v>
      </c>
    </row>
    <row r="1021" spans="1:45" s="64" customFormat="1" ht="36" customHeight="1" x14ac:dyDescent="0.9">
      <c r="A1021" s="64">
        <v>1</v>
      </c>
      <c r="B1021" s="92">
        <f>SUBTOTAL(103,$A$942:A1021)</f>
        <v>78</v>
      </c>
      <c r="C1021" s="91" t="s">
        <v>437</v>
      </c>
      <c r="D1021" s="126">
        <v>1961</v>
      </c>
      <c r="E1021" s="126"/>
      <c r="F1021" s="145" t="s">
        <v>273</v>
      </c>
      <c r="G1021" s="126">
        <v>2</v>
      </c>
      <c r="H1021" s="126">
        <v>1</v>
      </c>
      <c r="I1021" s="117">
        <v>646.49</v>
      </c>
      <c r="J1021" s="117">
        <v>588.49</v>
      </c>
      <c r="K1021" s="117">
        <v>588.49</v>
      </c>
      <c r="L1021" s="127">
        <v>29</v>
      </c>
      <c r="M1021" s="126" t="s">
        <v>271</v>
      </c>
      <c r="N1021" s="126" t="s">
        <v>272</v>
      </c>
      <c r="O1021" s="124" t="s">
        <v>274</v>
      </c>
      <c r="P1021" s="118">
        <v>3391530.1000000006</v>
      </c>
      <c r="Q1021" s="118">
        <v>0</v>
      </c>
      <c r="R1021" s="118">
        <v>0</v>
      </c>
      <c r="S1021" s="118">
        <f t="shared" si="149"/>
        <v>3391530.1000000006</v>
      </c>
      <c r="T1021" s="118">
        <f t="shared" si="146"/>
        <v>5246.0673792324715</v>
      </c>
      <c r="U1021" s="118">
        <f>Y1021</f>
        <v>5928.6318427199185</v>
      </c>
      <c r="V1021" s="183">
        <f t="shared" si="140"/>
        <v>682.56446348744703</v>
      </c>
      <c r="W1021" s="183"/>
      <c r="X1021" s="183"/>
      <c r="Y1021" s="64">
        <f t="shared" si="141"/>
        <v>5928.6318427199185</v>
      </c>
      <c r="AA1021" s="64">
        <f t="shared" si="142"/>
        <v>734</v>
      </c>
      <c r="AH1021" s="64" t="e">
        <f t="shared" si="143"/>
        <v>#N/A</v>
      </c>
      <c r="AS1021" s="64" t="e">
        <f t="shared" si="144"/>
        <v>#N/A</v>
      </c>
    </row>
    <row r="1022" spans="1:45" s="64" customFormat="1" ht="36" customHeight="1" x14ac:dyDescent="0.9">
      <c r="A1022" s="64">
        <v>1</v>
      </c>
      <c r="B1022" s="92">
        <f>SUBTOTAL(103,$A$942:A1022)</f>
        <v>79</v>
      </c>
      <c r="C1022" s="91" t="s">
        <v>438</v>
      </c>
      <c r="D1022" s="126">
        <v>1969</v>
      </c>
      <c r="E1022" s="126"/>
      <c r="F1022" s="145" t="s">
        <v>273</v>
      </c>
      <c r="G1022" s="126">
        <v>5</v>
      </c>
      <c r="H1022" s="126">
        <v>6</v>
      </c>
      <c r="I1022" s="117">
        <v>4890.1099999999997</v>
      </c>
      <c r="J1022" s="117">
        <v>4432.68</v>
      </c>
      <c r="K1022" s="117">
        <v>4177.2300000000005</v>
      </c>
      <c r="L1022" s="127">
        <v>212</v>
      </c>
      <c r="M1022" s="126" t="s">
        <v>271</v>
      </c>
      <c r="N1022" s="126" t="s">
        <v>275</v>
      </c>
      <c r="O1022" s="124" t="s">
        <v>329</v>
      </c>
      <c r="P1022" s="118">
        <v>8090003.5300000003</v>
      </c>
      <c r="Q1022" s="118">
        <v>0</v>
      </c>
      <c r="R1022" s="118">
        <v>0</v>
      </c>
      <c r="S1022" s="118">
        <f t="shared" si="149"/>
        <v>8090003.5300000003</v>
      </c>
      <c r="T1022" s="118">
        <f t="shared" si="146"/>
        <v>1654.3602352503319</v>
      </c>
      <c r="U1022" s="118">
        <f>Y1022</f>
        <v>1830.2584604436304</v>
      </c>
      <c r="V1022" s="183">
        <f t="shared" si="140"/>
        <v>175.89822519329846</v>
      </c>
      <c r="W1022" s="183"/>
      <c r="X1022" s="183"/>
      <c r="Y1022" s="64">
        <f t="shared" si="141"/>
        <v>1830.2584604436304</v>
      </c>
      <c r="AA1022" s="64">
        <f t="shared" si="142"/>
        <v>1714</v>
      </c>
      <c r="AH1022" s="64" t="e">
        <f t="shared" si="143"/>
        <v>#N/A</v>
      </c>
      <c r="AS1022" s="64" t="e">
        <f t="shared" si="144"/>
        <v>#N/A</v>
      </c>
    </row>
    <row r="1023" spans="1:45" s="64" customFormat="1" ht="36" customHeight="1" x14ac:dyDescent="0.9">
      <c r="A1023" s="64">
        <v>1</v>
      </c>
      <c r="B1023" s="92">
        <f>SUBTOTAL(103,$A$942:A1023)</f>
        <v>80</v>
      </c>
      <c r="C1023" s="91" t="s">
        <v>439</v>
      </c>
      <c r="D1023" s="126">
        <v>1961</v>
      </c>
      <c r="E1023" s="126"/>
      <c r="F1023" s="145" t="s">
        <v>273</v>
      </c>
      <c r="G1023" s="126">
        <v>2</v>
      </c>
      <c r="H1023" s="126">
        <v>2</v>
      </c>
      <c r="I1023" s="117">
        <v>824.68999999999994</v>
      </c>
      <c r="J1023" s="117">
        <v>778.39</v>
      </c>
      <c r="K1023" s="117">
        <v>728.73</v>
      </c>
      <c r="L1023" s="127">
        <v>49</v>
      </c>
      <c r="M1023" s="126" t="s">
        <v>271</v>
      </c>
      <c r="N1023" s="126" t="s">
        <v>275</v>
      </c>
      <c r="O1023" s="124" t="s">
        <v>333</v>
      </c>
      <c r="P1023" s="118">
        <v>2744983.73</v>
      </c>
      <c r="Q1023" s="118">
        <v>0</v>
      </c>
      <c r="R1023" s="118">
        <v>0</v>
      </c>
      <c r="S1023" s="118">
        <f t="shared" si="149"/>
        <v>2744983.73</v>
      </c>
      <c r="T1023" s="118">
        <f t="shared" si="146"/>
        <v>3328.5037165480367</v>
      </c>
      <c r="U1023" s="118">
        <f>Y1023</f>
        <v>3799.1002679794833</v>
      </c>
      <c r="V1023" s="183">
        <f t="shared" si="140"/>
        <v>470.59655143144664</v>
      </c>
      <c r="W1023" s="183"/>
      <c r="X1023" s="183"/>
      <c r="Y1023" s="64">
        <f t="shared" si="141"/>
        <v>3799.1002679794833</v>
      </c>
      <c r="AA1023" s="64">
        <f t="shared" si="142"/>
        <v>600</v>
      </c>
      <c r="AH1023" s="64" t="e">
        <f t="shared" si="143"/>
        <v>#N/A</v>
      </c>
      <c r="AS1023" s="64" t="e">
        <f t="shared" si="144"/>
        <v>#N/A</v>
      </c>
    </row>
    <row r="1024" spans="1:45" s="64" customFormat="1" ht="36" customHeight="1" x14ac:dyDescent="0.9">
      <c r="A1024" s="64">
        <v>1</v>
      </c>
      <c r="B1024" s="92">
        <f>SUBTOTAL(103,$A$942:A1024)</f>
        <v>81</v>
      </c>
      <c r="C1024" s="91" t="s">
        <v>440</v>
      </c>
      <c r="D1024" s="126">
        <v>1980</v>
      </c>
      <c r="E1024" s="126"/>
      <c r="F1024" s="145" t="s">
        <v>273</v>
      </c>
      <c r="G1024" s="126">
        <v>5</v>
      </c>
      <c r="H1024" s="126">
        <v>2</v>
      </c>
      <c r="I1024" s="117">
        <v>1589.4</v>
      </c>
      <c r="J1024" s="117">
        <v>1176.4000000000001</v>
      </c>
      <c r="K1024" s="117">
        <v>1117.8000000000002</v>
      </c>
      <c r="L1024" s="127">
        <v>65</v>
      </c>
      <c r="M1024" s="126" t="s">
        <v>271</v>
      </c>
      <c r="N1024" s="126" t="s">
        <v>275</v>
      </c>
      <c r="O1024" s="124" t="s">
        <v>333</v>
      </c>
      <c r="P1024" s="118">
        <v>1568740.5100000002</v>
      </c>
      <c r="Q1024" s="118">
        <v>0</v>
      </c>
      <c r="R1024" s="118">
        <v>0</v>
      </c>
      <c r="S1024" s="118">
        <f t="shared" si="149"/>
        <v>1568740.5100000002</v>
      </c>
      <c r="T1024" s="118">
        <f t="shared" si="146"/>
        <v>987.00170504592938</v>
      </c>
      <c r="U1024" s="118">
        <f>Y1024</f>
        <v>1149.8867497168742</v>
      </c>
      <c r="V1024" s="183">
        <f t="shared" si="140"/>
        <v>162.88504467094481</v>
      </c>
      <c r="W1024" s="183"/>
      <c r="X1024" s="183"/>
      <c r="Y1024" s="64">
        <f t="shared" si="141"/>
        <v>1149.8867497168742</v>
      </c>
      <c r="AA1024" s="64">
        <f t="shared" si="142"/>
        <v>350</v>
      </c>
      <c r="AH1024" s="64" t="e">
        <f t="shared" si="143"/>
        <v>#N/A</v>
      </c>
      <c r="AS1024" s="64" t="e">
        <f t="shared" si="144"/>
        <v>#N/A</v>
      </c>
    </row>
    <row r="1025" spans="1:45" s="64" customFormat="1" ht="36" customHeight="1" x14ac:dyDescent="0.9">
      <c r="A1025" s="64">
        <v>1</v>
      </c>
      <c r="B1025" s="92">
        <f>SUBTOTAL(103,$A$942:A1025)</f>
        <v>82</v>
      </c>
      <c r="C1025" s="91" t="s">
        <v>209</v>
      </c>
      <c r="D1025" s="126">
        <v>1983</v>
      </c>
      <c r="E1025" s="126"/>
      <c r="F1025" s="145" t="s">
        <v>273</v>
      </c>
      <c r="G1025" s="126">
        <v>5</v>
      </c>
      <c r="H1025" s="126">
        <v>4</v>
      </c>
      <c r="I1025" s="117">
        <v>3097.1</v>
      </c>
      <c r="J1025" s="117">
        <v>2810.6</v>
      </c>
      <c r="K1025" s="117">
        <v>2810.6</v>
      </c>
      <c r="L1025" s="127">
        <v>127</v>
      </c>
      <c r="M1025" s="126" t="s">
        <v>271</v>
      </c>
      <c r="N1025" s="126" t="s">
        <v>275</v>
      </c>
      <c r="O1025" s="124" t="s">
        <v>1018</v>
      </c>
      <c r="P1025" s="118">
        <v>4671497.92</v>
      </c>
      <c r="Q1025" s="118">
        <v>0</v>
      </c>
      <c r="R1025" s="118">
        <v>0</v>
      </c>
      <c r="S1025" s="118">
        <f t="shared" si="149"/>
        <v>4671497.92</v>
      </c>
      <c r="T1025" s="118">
        <f t="shared" si="146"/>
        <v>1508.3458461141067</v>
      </c>
      <c r="U1025" s="118">
        <f>Y1025</f>
        <v>1684.3428368473735</v>
      </c>
      <c r="V1025" s="183">
        <f t="shared" si="140"/>
        <v>175.99699073326678</v>
      </c>
      <c r="W1025" s="183"/>
      <c r="X1025" s="183"/>
      <c r="Y1025" s="64">
        <f t="shared" si="141"/>
        <v>1684.3428368473735</v>
      </c>
      <c r="AA1025" s="64">
        <f t="shared" si="142"/>
        <v>999</v>
      </c>
      <c r="AH1025" s="64" t="e">
        <f t="shared" si="143"/>
        <v>#N/A</v>
      </c>
      <c r="AS1025" s="64" t="e">
        <f t="shared" si="144"/>
        <v>#N/A</v>
      </c>
    </row>
    <row r="1026" spans="1:45" s="64" customFormat="1" ht="36" customHeight="1" x14ac:dyDescent="0.9">
      <c r="A1026" s="64">
        <v>1</v>
      </c>
      <c r="B1026" s="92">
        <f>SUBTOTAL(103,$A$942:A1026)</f>
        <v>83</v>
      </c>
      <c r="C1026" s="91" t="s">
        <v>210</v>
      </c>
      <c r="D1026" s="126">
        <v>1963</v>
      </c>
      <c r="E1026" s="126"/>
      <c r="F1026" s="145" t="s">
        <v>273</v>
      </c>
      <c r="G1026" s="126">
        <v>2</v>
      </c>
      <c r="H1026" s="126">
        <v>2</v>
      </c>
      <c r="I1026" s="117">
        <v>490.8</v>
      </c>
      <c r="J1026" s="117">
        <v>442.2</v>
      </c>
      <c r="K1026" s="117">
        <v>442.2</v>
      </c>
      <c r="L1026" s="127">
        <v>19</v>
      </c>
      <c r="M1026" s="126" t="s">
        <v>271</v>
      </c>
      <c r="N1026" s="126" t="s">
        <v>275</v>
      </c>
      <c r="O1026" s="124" t="s">
        <v>334</v>
      </c>
      <c r="P1026" s="118">
        <v>457907</v>
      </c>
      <c r="Q1026" s="118">
        <v>0</v>
      </c>
      <c r="R1026" s="118">
        <v>0</v>
      </c>
      <c r="S1026" s="118">
        <f t="shared" si="149"/>
        <v>457907</v>
      </c>
      <c r="T1026" s="118">
        <f t="shared" si="146"/>
        <v>932.98084759576204</v>
      </c>
      <c r="U1026" s="118">
        <v>932.98084759576204</v>
      </c>
      <c r="V1026" s="183">
        <f t="shared" si="140"/>
        <v>0</v>
      </c>
      <c r="W1026" s="183"/>
      <c r="X1026" s="183"/>
      <c r="Y1026" s="64" t="e">
        <f t="shared" si="141"/>
        <v>#N/A</v>
      </c>
      <c r="AA1026" s="64" t="e">
        <f t="shared" si="142"/>
        <v>#N/A</v>
      </c>
      <c r="AH1026" s="64" t="e">
        <f t="shared" si="143"/>
        <v>#N/A</v>
      </c>
      <c r="AS1026" s="64" t="e">
        <f t="shared" si="144"/>
        <v>#N/A</v>
      </c>
    </row>
    <row r="1027" spans="1:45" s="64" customFormat="1" ht="36" customHeight="1" x14ac:dyDescent="0.9">
      <c r="A1027" s="64">
        <v>1</v>
      </c>
      <c r="B1027" s="92">
        <f>SUBTOTAL(103,$A$942:A1027)</f>
        <v>84</v>
      </c>
      <c r="C1027" s="91" t="s">
        <v>211</v>
      </c>
      <c r="D1027" s="126">
        <v>1969</v>
      </c>
      <c r="E1027" s="126"/>
      <c r="F1027" s="145" t="s">
        <v>273</v>
      </c>
      <c r="G1027" s="126">
        <v>2</v>
      </c>
      <c r="H1027" s="126">
        <v>2</v>
      </c>
      <c r="I1027" s="117">
        <v>640.40000000000009</v>
      </c>
      <c r="J1027" s="117">
        <v>589.20000000000005</v>
      </c>
      <c r="K1027" s="117">
        <v>537.5</v>
      </c>
      <c r="L1027" s="127">
        <v>31</v>
      </c>
      <c r="M1027" s="126" t="s">
        <v>271</v>
      </c>
      <c r="N1027" s="126" t="s">
        <v>275</v>
      </c>
      <c r="O1027" s="124" t="s">
        <v>334</v>
      </c>
      <c r="P1027" s="118">
        <v>632281</v>
      </c>
      <c r="Q1027" s="118">
        <v>0</v>
      </c>
      <c r="R1027" s="118">
        <v>0</v>
      </c>
      <c r="S1027" s="118">
        <f t="shared" si="149"/>
        <v>632281</v>
      </c>
      <c r="T1027" s="118">
        <f t="shared" si="146"/>
        <v>987.32198625858825</v>
      </c>
      <c r="U1027" s="118">
        <v>987.32198625858825</v>
      </c>
      <c r="V1027" s="183">
        <f t="shared" si="140"/>
        <v>0</v>
      </c>
      <c r="W1027" s="183"/>
      <c r="X1027" s="183"/>
      <c r="Y1027" s="64" t="e">
        <f t="shared" si="141"/>
        <v>#N/A</v>
      </c>
      <c r="AA1027" s="64" t="e">
        <f t="shared" si="142"/>
        <v>#N/A</v>
      </c>
      <c r="AH1027" s="64" t="e">
        <f t="shared" si="143"/>
        <v>#N/A</v>
      </c>
      <c r="AS1027" s="64" t="e">
        <f t="shared" si="144"/>
        <v>#N/A</v>
      </c>
    </row>
    <row r="1028" spans="1:45" s="64" customFormat="1" ht="36" customHeight="1" x14ac:dyDescent="0.9">
      <c r="A1028" s="64">
        <v>1</v>
      </c>
      <c r="B1028" s="92">
        <f>SUBTOTAL(103,$A$942:A1028)</f>
        <v>85</v>
      </c>
      <c r="C1028" s="91" t="s">
        <v>212</v>
      </c>
      <c r="D1028" s="126">
        <v>1966</v>
      </c>
      <c r="E1028" s="126"/>
      <c r="F1028" s="145" t="s">
        <v>273</v>
      </c>
      <c r="G1028" s="126">
        <v>2</v>
      </c>
      <c r="H1028" s="126">
        <v>2</v>
      </c>
      <c r="I1028" s="117">
        <v>781.6</v>
      </c>
      <c r="J1028" s="117">
        <v>719.9</v>
      </c>
      <c r="K1028" s="117">
        <v>670.3</v>
      </c>
      <c r="L1028" s="127">
        <v>25</v>
      </c>
      <c r="M1028" s="126" t="s">
        <v>271</v>
      </c>
      <c r="N1028" s="126" t="s">
        <v>275</v>
      </c>
      <c r="O1028" s="124" t="s">
        <v>334</v>
      </c>
      <c r="P1028" s="118">
        <v>731529</v>
      </c>
      <c r="Q1028" s="118">
        <v>0</v>
      </c>
      <c r="R1028" s="118">
        <v>0</v>
      </c>
      <c r="S1028" s="118">
        <f t="shared" si="149"/>
        <v>731529</v>
      </c>
      <c r="T1028" s="118">
        <f t="shared" si="146"/>
        <v>935.93781985670421</v>
      </c>
      <c r="U1028" s="118">
        <v>935.93781985670421</v>
      </c>
      <c r="V1028" s="183">
        <f t="shared" si="140"/>
        <v>0</v>
      </c>
      <c r="W1028" s="183"/>
      <c r="X1028" s="183"/>
      <c r="Y1028" s="64" t="e">
        <f t="shared" si="141"/>
        <v>#N/A</v>
      </c>
      <c r="AA1028" s="64" t="e">
        <f t="shared" si="142"/>
        <v>#N/A</v>
      </c>
      <c r="AH1028" s="64" t="e">
        <f t="shared" si="143"/>
        <v>#N/A</v>
      </c>
      <c r="AS1028" s="64" t="e">
        <f t="shared" si="144"/>
        <v>#N/A</v>
      </c>
    </row>
    <row r="1029" spans="1:45" s="64" customFormat="1" ht="36" customHeight="1" x14ac:dyDescent="0.9">
      <c r="A1029" s="64">
        <v>1</v>
      </c>
      <c r="B1029" s="92">
        <f>SUBTOTAL(103,$A$942:A1029)</f>
        <v>86</v>
      </c>
      <c r="C1029" s="91" t="s">
        <v>441</v>
      </c>
      <c r="D1029" s="126">
        <v>1963</v>
      </c>
      <c r="E1029" s="126"/>
      <c r="F1029" s="145" t="s">
        <v>273</v>
      </c>
      <c r="G1029" s="126">
        <v>4</v>
      </c>
      <c r="H1029" s="126">
        <v>3</v>
      </c>
      <c r="I1029" s="117">
        <v>2141.94</v>
      </c>
      <c r="J1029" s="117">
        <v>1753.08</v>
      </c>
      <c r="K1029" s="117">
        <v>1544.6799999999998</v>
      </c>
      <c r="L1029" s="127">
        <v>61</v>
      </c>
      <c r="M1029" s="126" t="s">
        <v>271</v>
      </c>
      <c r="N1029" s="126" t="s">
        <v>275</v>
      </c>
      <c r="O1029" s="124" t="s">
        <v>1018</v>
      </c>
      <c r="P1029" s="118">
        <v>4760772.24</v>
      </c>
      <c r="Q1029" s="118">
        <v>0</v>
      </c>
      <c r="R1029" s="118">
        <v>0</v>
      </c>
      <c r="S1029" s="118">
        <f t="shared" si="149"/>
        <v>4760772.24</v>
      </c>
      <c r="T1029" s="118">
        <f t="shared" si="146"/>
        <v>2222.6450040617383</v>
      </c>
      <c r="U1029" s="118">
        <f>Y1029</f>
        <v>2496.392616039665</v>
      </c>
      <c r="V1029" s="183">
        <f t="shared" si="140"/>
        <v>273.74761197792668</v>
      </c>
      <c r="W1029" s="183"/>
      <c r="X1029" s="183"/>
      <c r="Y1029" s="64">
        <f t="shared" si="141"/>
        <v>2496.392616039665</v>
      </c>
      <c r="AA1029" s="64">
        <f t="shared" si="142"/>
        <v>1024</v>
      </c>
      <c r="AH1029" s="64" t="e">
        <f t="shared" si="143"/>
        <v>#N/A</v>
      </c>
      <c r="AS1029" s="64" t="e">
        <f t="shared" si="144"/>
        <v>#N/A</v>
      </c>
    </row>
    <row r="1030" spans="1:45" s="64" customFormat="1" ht="36" customHeight="1" x14ac:dyDescent="0.9">
      <c r="A1030" s="64">
        <v>1</v>
      </c>
      <c r="B1030" s="92">
        <f>SUBTOTAL(103,$A$942:A1030)</f>
        <v>87</v>
      </c>
      <c r="C1030" s="91" t="s">
        <v>442</v>
      </c>
      <c r="D1030" s="126">
        <v>1974</v>
      </c>
      <c r="E1030" s="126"/>
      <c r="F1030" s="145" t="s">
        <v>273</v>
      </c>
      <c r="G1030" s="126">
        <v>9</v>
      </c>
      <c r="H1030" s="126">
        <v>2</v>
      </c>
      <c r="I1030" s="117">
        <v>5409.4</v>
      </c>
      <c r="J1030" s="117">
        <v>4377.3999999999996</v>
      </c>
      <c r="K1030" s="117">
        <v>4227.7</v>
      </c>
      <c r="L1030" s="127">
        <v>190</v>
      </c>
      <c r="M1030" s="126" t="s">
        <v>271</v>
      </c>
      <c r="N1030" s="126" t="s">
        <v>275</v>
      </c>
      <c r="O1030" s="124" t="s">
        <v>1018</v>
      </c>
      <c r="P1030" s="118">
        <v>4331631.53</v>
      </c>
      <c r="Q1030" s="118">
        <v>0</v>
      </c>
      <c r="R1030" s="118">
        <v>0</v>
      </c>
      <c r="S1030" s="118">
        <f t="shared" si="149"/>
        <v>4331631.53</v>
      </c>
      <c r="T1030" s="118">
        <f t="shared" si="146"/>
        <v>800.76007135726707</v>
      </c>
      <c r="U1030" s="118">
        <f>AR1030</f>
        <v>816.13968277442973</v>
      </c>
      <c r="V1030" s="183">
        <f t="shared" si="140"/>
        <v>15.379611417162664</v>
      </c>
      <c r="W1030" s="183"/>
      <c r="X1030" s="183"/>
      <c r="Y1030" s="64" t="e">
        <f t="shared" si="141"/>
        <v>#N/A</v>
      </c>
      <c r="AA1030" s="64" t="e">
        <f t="shared" si="142"/>
        <v>#N/A</v>
      </c>
      <c r="AH1030" s="64" t="e">
        <f t="shared" si="143"/>
        <v>#N/A</v>
      </c>
      <c r="AR1030" s="64">
        <f>AS1030*2207413/I1030</f>
        <v>816.13968277442973</v>
      </c>
      <c r="AS1030" s="64">
        <f t="shared" si="144"/>
        <v>2</v>
      </c>
    </row>
    <row r="1031" spans="1:45" s="64" customFormat="1" ht="36" customHeight="1" x14ac:dyDescent="0.9">
      <c r="A1031" s="64">
        <v>1</v>
      </c>
      <c r="B1031" s="92">
        <f>SUBTOTAL(103,$A$942:A1031)</f>
        <v>88</v>
      </c>
      <c r="C1031" s="91" t="s">
        <v>443</v>
      </c>
      <c r="D1031" s="126">
        <v>1958</v>
      </c>
      <c r="E1031" s="126"/>
      <c r="F1031" s="145" t="s">
        <v>273</v>
      </c>
      <c r="G1031" s="126">
        <v>2</v>
      </c>
      <c r="H1031" s="126">
        <v>2</v>
      </c>
      <c r="I1031" s="117">
        <v>717.8</v>
      </c>
      <c r="J1031" s="117">
        <v>649.4</v>
      </c>
      <c r="K1031" s="117">
        <v>507.29999999999995</v>
      </c>
      <c r="L1031" s="127">
        <v>47</v>
      </c>
      <c r="M1031" s="126" t="s">
        <v>271</v>
      </c>
      <c r="N1031" s="126" t="s">
        <v>275</v>
      </c>
      <c r="O1031" s="124" t="s">
        <v>333</v>
      </c>
      <c r="P1031" s="118">
        <v>2789948.7</v>
      </c>
      <c r="Q1031" s="118">
        <v>0</v>
      </c>
      <c r="R1031" s="118">
        <v>0</v>
      </c>
      <c r="S1031" s="118">
        <f t="shared" si="149"/>
        <v>2789948.7</v>
      </c>
      <c r="T1031" s="118">
        <f t="shared" si="146"/>
        <v>3886.8050989133467</v>
      </c>
      <c r="U1031" s="118">
        <f t="shared" ref="U1031:U1038" si="150">Y1031</f>
        <v>4364.8370019504046</v>
      </c>
      <c r="V1031" s="183">
        <f t="shared" si="140"/>
        <v>478.03190303705787</v>
      </c>
      <c r="W1031" s="183"/>
      <c r="X1031" s="183"/>
      <c r="Y1031" s="64">
        <f t="shared" si="141"/>
        <v>4364.8370019504046</v>
      </c>
      <c r="AA1031" s="64">
        <f t="shared" si="142"/>
        <v>600</v>
      </c>
      <c r="AH1031" s="64" t="e">
        <f t="shared" si="143"/>
        <v>#N/A</v>
      </c>
      <c r="AS1031" s="64" t="e">
        <f t="shared" si="144"/>
        <v>#N/A</v>
      </c>
    </row>
    <row r="1032" spans="1:45" s="64" customFormat="1" ht="36" customHeight="1" x14ac:dyDescent="0.9">
      <c r="A1032" s="64">
        <v>1</v>
      </c>
      <c r="B1032" s="92">
        <f>SUBTOTAL(103,$A$942:A1032)</f>
        <v>89</v>
      </c>
      <c r="C1032" s="91" t="s">
        <v>444</v>
      </c>
      <c r="D1032" s="126">
        <v>1956</v>
      </c>
      <c r="E1032" s="126"/>
      <c r="F1032" s="145" t="s">
        <v>332</v>
      </c>
      <c r="G1032" s="126">
        <v>2</v>
      </c>
      <c r="H1032" s="126">
        <v>3</v>
      </c>
      <c r="I1032" s="117">
        <v>1239.2</v>
      </c>
      <c r="J1032" s="117">
        <v>932.1</v>
      </c>
      <c r="K1032" s="117">
        <v>643.79999999999995</v>
      </c>
      <c r="L1032" s="127">
        <v>44</v>
      </c>
      <c r="M1032" s="126" t="s">
        <v>271</v>
      </c>
      <c r="N1032" s="126" t="s">
        <v>275</v>
      </c>
      <c r="O1032" s="124" t="s">
        <v>329</v>
      </c>
      <c r="P1032" s="118">
        <v>3242314.75</v>
      </c>
      <c r="Q1032" s="118">
        <v>0</v>
      </c>
      <c r="R1032" s="118">
        <v>0</v>
      </c>
      <c r="S1032" s="118">
        <f t="shared" si="149"/>
        <v>3242314.75</v>
      </c>
      <c r="T1032" s="118">
        <f t="shared" si="146"/>
        <v>2616.4579970948998</v>
      </c>
      <c r="U1032" s="118">
        <f t="shared" si="150"/>
        <v>3147.744189799871</v>
      </c>
      <c r="V1032" s="183">
        <f t="shared" si="140"/>
        <v>531.2861927049712</v>
      </c>
      <c r="W1032" s="183"/>
      <c r="X1032" s="183"/>
      <c r="Y1032" s="64">
        <f t="shared" si="141"/>
        <v>3147.744189799871</v>
      </c>
      <c r="AA1032" s="64">
        <f t="shared" si="142"/>
        <v>747</v>
      </c>
      <c r="AH1032" s="64" t="e">
        <f t="shared" si="143"/>
        <v>#N/A</v>
      </c>
      <c r="AS1032" s="64" t="e">
        <f t="shared" si="144"/>
        <v>#N/A</v>
      </c>
    </row>
    <row r="1033" spans="1:45" s="64" customFormat="1" ht="36" customHeight="1" x14ac:dyDescent="0.9">
      <c r="A1033" s="64">
        <v>1</v>
      </c>
      <c r="B1033" s="92">
        <f>SUBTOTAL(103,$A$942:A1033)</f>
        <v>90</v>
      </c>
      <c r="C1033" s="91" t="s">
        <v>445</v>
      </c>
      <c r="D1033" s="126">
        <v>1968</v>
      </c>
      <c r="E1033" s="126"/>
      <c r="F1033" s="145" t="s">
        <v>273</v>
      </c>
      <c r="G1033" s="126">
        <v>3</v>
      </c>
      <c r="H1033" s="126">
        <v>2</v>
      </c>
      <c r="I1033" s="117">
        <v>1032.5</v>
      </c>
      <c r="J1033" s="117">
        <v>644</v>
      </c>
      <c r="K1033" s="117">
        <v>445.9</v>
      </c>
      <c r="L1033" s="127">
        <v>76</v>
      </c>
      <c r="M1033" s="126" t="s">
        <v>271</v>
      </c>
      <c r="N1033" s="126" t="s">
        <v>275</v>
      </c>
      <c r="O1033" s="124" t="s">
        <v>336</v>
      </c>
      <c r="P1033" s="118">
        <v>2210461.9000000004</v>
      </c>
      <c r="Q1033" s="118">
        <v>0</v>
      </c>
      <c r="R1033" s="118">
        <v>0</v>
      </c>
      <c r="S1033" s="118">
        <f t="shared" si="149"/>
        <v>2210461.9000000004</v>
      </c>
      <c r="T1033" s="118">
        <f t="shared" si="146"/>
        <v>2140.8831961259084</v>
      </c>
      <c r="U1033" s="118">
        <f t="shared" si="150"/>
        <v>2442.7403389830506</v>
      </c>
      <c r="V1033" s="183">
        <f t="shared" si="140"/>
        <v>301.85714285714221</v>
      </c>
      <c r="W1033" s="183"/>
      <c r="X1033" s="183"/>
      <c r="Y1033" s="64">
        <f t="shared" si="141"/>
        <v>2442.7403389830506</v>
      </c>
      <c r="AA1033" s="64">
        <f t="shared" si="142"/>
        <v>483</v>
      </c>
      <c r="AH1033" s="64" t="e">
        <f t="shared" si="143"/>
        <v>#N/A</v>
      </c>
      <c r="AS1033" s="64" t="e">
        <f t="shared" si="144"/>
        <v>#N/A</v>
      </c>
    </row>
    <row r="1034" spans="1:45" s="64" customFormat="1" ht="36" customHeight="1" x14ac:dyDescent="0.9">
      <c r="A1034" s="64">
        <v>1</v>
      </c>
      <c r="B1034" s="92">
        <f>SUBTOTAL(103,$A$942:A1034)</f>
        <v>91</v>
      </c>
      <c r="C1034" s="91" t="s">
        <v>446</v>
      </c>
      <c r="D1034" s="126">
        <v>1969</v>
      </c>
      <c r="E1034" s="126"/>
      <c r="F1034" s="145" t="s">
        <v>273</v>
      </c>
      <c r="G1034" s="126">
        <v>5</v>
      </c>
      <c r="H1034" s="126">
        <v>6</v>
      </c>
      <c r="I1034" s="117">
        <v>5048.3000000000011</v>
      </c>
      <c r="J1034" s="117">
        <v>4487.6000000000004</v>
      </c>
      <c r="K1034" s="117">
        <v>3957.13</v>
      </c>
      <c r="L1034" s="127">
        <v>204</v>
      </c>
      <c r="M1034" s="126" t="s">
        <v>271</v>
      </c>
      <c r="N1034" s="126" t="s">
        <v>275</v>
      </c>
      <c r="O1034" s="124" t="s">
        <v>336</v>
      </c>
      <c r="P1034" s="118">
        <v>7557284.3099999996</v>
      </c>
      <c r="Q1034" s="118">
        <v>0</v>
      </c>
      <c r="R1034" s="118">
        <v>0</v>
      </c>
      <c r="S1034" s="118">
        <f t="shared" si="149"/>
        <v>7557284.3099999996</v>
      </c>
      <c r="T1034" s="118">
        <f t="shared" si="146"/>
        <v>1496.9958817819856</v>
      </c>
      <c r="U1034" s="118">
        <f t="shared" si="150"/>
        <v>1552.5863756115916</v>
      </c>
      <c r="V1034" s="183">
        <f t="shared" si="140"/>
        <v>55.590493829605975</v>
      </c>
      <c r="W1034" s="183"/>
      <c r="X1034" s="183"/>
      <c r="Y1034" s="64">
        <f t="shared" si="141"/>
        <v>1552.5863756115916</v>
      </c>
      <c r="AA1034" s="64">
        <f t="shared" si="142"/>
        <v>1501</v>
      </c>
      <c r="AH1034" s="64" t="e">
        <f t="shared" si="143"/>
        <v>#N/A</v>
      </c>
      <c r="AS1034" s="64" t="e">
        <f t="shared" si="144"/>
        <v>#N/A</v>
      </c>
    </row>
    <row r="1035" spans="1:45" s="64" customFormat="1" ht="36" customHeight="1" x14ac:dyDescent="0.9">
      <c r="A1035" s="64">
        <v>1</v>
      </c>
      <c r="B1035" s="92">
        <f>SUBTOTAL(103,$A$942:A1035)</f>
        <v>92</v>
      </c>
      <c r="C1035" s="91" t="s">
        <v>447</v>
      </c>
      <c r="D1035" s="126">
        <v>1943</v>
      </c>
      <c r="E1035" s="126"/>
      <c r="F1035" s="145" t="s">
        <v>273</v>
      </c>
      <c r="G1035" s="126">
        <v>2</v>
      </c>
      <c r="H1035" s="126">
        <v>2</v>
      </c>
      <c r="I1035" s="117">
        <v>715.9</v>
      </c>
      <c r="J1035" s="117">
        <v>646.9</v>
      </c>
      <c r="K1035" s="117">
        <v>547.55999999999995</v>
      </c>
      <c r="L1035" s="127">
        <v>35</v>
      </c>
      <c r="M1035" s="126" t="s">
        <v>271</v>
      </c>
      <c r="N1035" s="126" t="s">
        <v>275</v>
      </c>
      <c r="O1035" s="124" t="s">
        <v>333</v>
      </c>
      <c r="P1035" s="118">
        <v>3073377.74</v>
      </c>
      <c r="Q1035" s="118">
        <v>0</v>
      </c>
      <c r="R1035" s="118">
        <v>0</v>
      </c>
      <c r="S1035" s="118">
        <f t="shared" si="149"/>
        <v>3073377.74</v>
      </c>
      <c r="T1035" s="118">
        <f t="shared" si="146"/>
        <v>4293.0265958932814</v>
      </c>
      <c r="U1035" s="118">
        <f t="shared" si="150"/>
        <v>4376.4212878893704</v>
      </c>
      <c r="V1035" s="183">
        <f t="shared" si="140"/>
        <v>83.394691996089023</v>
      </c>
      <c r="W1035" s="183"/>
      <c r="X1035" s="183"/>
      <c r="Y1035" s="64">
        <f t="shared" si="141"/>
        <v>4376.4212878893704</v>
      </c>
      <c r="AA1035" s="64">
        <f t="shared" si="142"/>
        <v>600</v>
      </c>
      <c r="AH1035" s="64" t="e">
        <f t="shared" si="143"/>
        <v>#N/A</v>
      </c>
      <c r="AS1035" s="64" t="e">
        <f t="shared" si="144"/>
        <v>#N/A</v>
      </c>
    </row>
    <row r="1036" spans="1:45" s="64" customFormat="1" ht="36" customHeight="1" x14ac:dyDescent="0.9">
      <c r="A1036" s="64">
        <v>1</v>
      </c>
      <c r="B1036" s="92">
        <f>SUBTOTAL(103,$A$942:A1036)</f>
        <v>93</v>
      </c>
      <c r="C1036" s="91" t="s">
        <v>448</v>
      </c>
      <c r="D1036" s="126">
        <v>1917</v>
      </c>
      <c r="E1036" s="126"/>
      <c r="F1036" s="145" t="s">
        <v>338</v>
      </c>
      <c r="G1036" s="126">
        <v>2</v>
      </c>
      <c r="H1036" s="126">
        <v>2</v>
      </c>
      <c r="I1036" s="117">
        <v>643.4</v>
      </c>
      <c r="J1036" s="117">
        <v>521.79999999999995</v>
      </c>
      <c r="K1036" s="117">
        <v>423.09999999999997</v>
      </c>
      <c r="L1036" s="127">
        <v>21</v>
      </c>
      <c r="M1036" s="126" t="s">
        <v>271</v>
      </c>
      <c r="N1036" s="126" t="s">
        <v>275</v>
      </c>
      <c r="O1036" s="124" t="s">
        <v>329</v>
      </c>
      <c r="P1036" s="118">
        <v>1665415</v>
      </c>
      <c r="Q1036" s="118">
        <v>0</v>
      </c>
      <c r="R1036" s="118">
        <v>0</v>
      </c>
      <c r="S1036" s="118">
        <f t="shared" si="149"/>
        <v>1665415</v>
      </c>
      <c r="T1036" s="118">
        <f t="shared" si="146"/>
        <v>2588.4597451041345</v>
      </c>
      <c r="U1036" s="118">
        <f t="shared" si="150"/>
        <v>2994.7842710599939</v>
      </c>
      <c r="V1036" s="183">
        <f t="shared" si="140"/>
        <v>406.32452595585937</v>
      </c>
      <c r="W1036" s="183"/>
      <c r="X1036" s="183"/>
      <c r="Y1036" s="64">
        <f t="shared" si="141"/>
        <v>2994.7842710599939</v>
      </c>
      <c r="AA1036" s="64">
        <f t="shared" si="142"/>
        <v>369</v>
      </c>
      <c r="AH1036" s="64" t="e">
        <f t="shared" si="143"/>
        <v>#N/A</v>
      </c>
      <c r="AS1036" s="64" t="e">
        <f t="shared" si="144"/>
        <v>#N/A</v>
      </c>
    </row>
    <row r="1037" spans="1:45" s="64" customFormat="1" ht="36" customHeight="1" x14ac:dyDescent="0.9">
      <c r="A1037" s="64">
        <v>1</v>
      </c>
      <c r="B1037" s="92">
        <f>SUBTOTAL(103,$A$942:A1037)</f>
        <v>94</v>
      </c>
      <c r="C1037" s="91" t="s">
        <v>214</v>
      </c>
      <c r="D1037" s="126">
        <v>1967</v>
      </c>
      <c r="E1037" s="126"/>
      <c r="F1037" s="145" t="s">
        <v>273</v>
      </c>
      <c r="G1037" s="126">
        <v>2</v>
      </c>
      <c r="H1037" s="126">
        <v>2</v>
      </c>
      <c r="I1037" s="117">
        <v>678.4</v>
      </c>
      <c r="J1037" s="117">
        <v>629.79999999999995</v>
      </c>
      <c r="K1037" s="117">
        <v>589.79999999999995</v>
      </c>
      <c r="L1037" s="127">
        <v>37</v>
      </c>
      <c r="M1037" s="126" t="s">
        <v>271</v>
      </c>
      <c r="N1037" s="126" t="s">
        <v>275</v>
      </c>
      <c r="O1037" s="124" t="s">
        <v>335</v>
      </c>
      <c r="P1037" s="118">
        <v>2384110.7700000005</v>
      </c>
      <c r="Q1037" s="118">
        <v>0</v>
      </c>
      <c r="R1037" s="118">
        <v>0</v>
      </c>
      <c r="S1037" s="118">
        <f t="shared" si="149"/>
        <v>2384110.7700000005</v>
      </c>
      <c r="T1037" s="118">
        <f t="shared" si="146"/>
        <v>3514.3142246462271</v>
      </c>
      <c r="U1037" s="118">
        <f t="shared" si="150"/>
        <v>4041.0451061320755</v>
      </c>
      <c r="V1037" s="183">
        <f t="shared" si="140"/>
        <v>526.73088148584839</v>
      </c>
      <c r="W1037" s="183"/>
      <c r="X1037" s="183"/>
      <c r="Y1037" s="64">
        <f t="shared" si="141"/>
        <v>4041.0451061320755</v>
      </c>
      <c r="AA1037" s="64">
        <f t="shared" si="142"/>
        <v>525</v>
      </c>
      <c r="AH1037" s="64" t="e">
        <f t="shared" si="143"/>
        <v>#N/A</v>
      </c>
      <c r="AS1037" s="64" t="e">
        <f t="shared" si="144"/>
        <v>#N/A</v>
      </c>
    </row>
    <row r="1038" spans="1:45" s="64" customFormat="1" ht="36" customHeight="1" x14ac:dyDescent="0.9">
      <c r="A1038" s="64">
        <v>1</v>
      </c>
      <c r="B1038" s="92">
        <f>SUBTOTAL(103,$A$942:A1038)</f>
        <v>95</v>
      </c>
      <c r="C1038" s="91" t="s">
        <v>213</v>
      </c>
      <c r="D1038" s="126">
        <v>1975</v>
      </c>
      <c r="E1038" s="126"/>
      <c r="F1038" s="145" t="s">
        <v>273</v>
      </c>
      <c r="G1038" s="126">
        <v>2</v>
      </c>
      <c r="H1038" s="126">
        <v>2</v>
      </c>
      <c r="I1038" s="117">
        <v>817.4</v>
      </c>
      <c r="J1038" s="117">
        <v>756.3</v>
      </c>
      <c r="K1038" s="117">
        <v>652</v>
      </c>
      <c r="L1038" s="127">
        <v>43</v>
      </c>
      <c r="M1038" s="126" t="s">
        <v>271</v>
      </c>
      <c r="N1038" s="126" t="s">
        <v>275</v>
      </c>
      <c r="O1038" s="124" t="s">
        <v>335</v>
      </c>
      <c r="P1038" s="118">
        <v>2817533.3499999996</v>
      </c>
      <c r="Q1038" s="118">
        <v>0</v>
      </c>
      <c r="R1038" s="118">
        <v>0</v>
      </c>
      <c r="S1038" s="118">
        <f t="shared" si="149"/>
        <v>2817533.3499999996</v>
      </c>
      <c r="T1038" s="118">
        <f t="shared" si="146"/>
        <v>3446.9456202593587</v>
      </c>
      <c r="U1038" s="118">
        <f t="shared" si="150"/>
        <v>3922.4188891607541</v>
      </c>
      <c r="V1038" s="183">
        <f t="shared" si="140"/>
        <v>475.47326890139539</v>
      </c>
      <c r="W1038" s="183"/>
      <c r="X1038" s="183"/>
      <c r="Y1038" s="64">
        <f t="shared" si="141"/>
        <v>3922.4188891607541</v>
      </c>
      <c r="AA1038" s="64">
        <f t="shared" si="142"/>
        <v>614</v>
      </c>
      <c r="AH1038" s="64" t="e">
        <f t="shared" si="143"/>
        <v>#N/A</v>
      </c>
      <c r="AS1038" s="64" t="e">
        <f t="shared" si="144"/>
        <v>#N/A</v>
      </c>
    </row>
    <row r="1039" spans="1:45" s="64" customFormat="1" ht="36" customHeight="1" x14ac:dyDescent="0.9">
      <c r="A1039" s="64">
        <v>1</v>
      </c>
      <c r="B1039" s="92">
        <f>SUBTOTAL(103,$A$942:A1039)</f>
        <v>96</v>
      </c>
      <c r="C1039" s="91" t="s">
        <v>449</v>
      </c>
      <c r="D1039" s="126">
        <v>1994</v>
      </c>
      <c r="E1039" s="126"/>
      <c r="F1039" s="145" t="s">
        <v>319</v>
      </c>
      <c r="G1039" s="126">
        <v>9</v>
      </c>
      <c r="H1039" s="126">
        <v>2</v>
      </c>
      <c r="I1039" s="117">
        <v>4306.3</v>
      </c>
      <c r="J1039" s="117">
        <v>3871</v>
      </c>
      <c r="K1039" s="117">
        <v>3511.4</v>
      </c>
      <c r="L1039" s="127">
        <v>173</v>
      </c>
      <c r="M1039" s="126" t="s">
        <v>271</v>
      </c>
      <c r="N1039" s="126" t="s">
        <v>275</v>
      </c>
      <c r="O1039" s="124" t="s">
        <v>329</v>
      </c>
      <c r="P1039" s="118">
        <v>4331631.53</v>
      </c>
      <c r="Q1039" s="118">
        <v>0</v>
      </c>
      <c r="R1039" s="118">
        <v>0</v>
      </c>
      <c r="S1039" s="118">
        <f t="shared" si="149"/>
        <v>4331631.53</v>
      </c>
      <c r="T1039" s="118">
        <f t="shared" si="146"/>
        <v>1005.8824350370388</v>
      </c>
      <c r="U1039" s="118">
        <f>AR1039</f>
        <v>1025.2016812576921</v>
      </c>
      <c r="V1039" s="183">
        <f t="shared" si="140"/>
        <v>19.319246220653326</v>
      </c>
      <c r="W1039" s="183"/>
      <c r="X1039" s="183"/>
      <c r="Y1039" s="64" t="e">
        <f t="shared" si="141"/>
        <v>#N/A</v>
      </c>
      <c r="AA1039" s="64" t="e">
        <f t="shared" si="142"/>
        <v>#N/A</v>
      </c>
      <c r="AH1039" s="64" t="e">
        <f t="shared" si="143"/>
        <v>#N/A</v>
      </c>
      <c r="AR1039" s="64">
        <f>AS1039*2207413/I1039</f>
        <v>1025.2016812576921</v>
      </c>
      <c r="AS1039" s="64">
        <f t="shared" si="144"/>
        <v>2</v>
      </c>
    </row>
    <row r="1040" spans="1:45" s="64" customFormat="1" ht="36" customHeight="1" x14ac:dyDescent="0.9">
      <c r="A1040" s="64">
        <v>1</v>
      </c>
      <c r="B1040" s="92">
        <f>SUBTOTAL(103,$A$942:A1040)</f>
        <v>97</v>
      </c>
      <c r="C1040" s="91" t="s">
        <v>450</v>
      </c>
      <c r="D1040" s="126">
        <v>1950</v>
      </c>
      <c r="E1040" s="126"/>
      <c r="F1040" s="145" t="s">
        <v>273</v>
      </c>
      <c r="G1040" s="126">
        <v>2</v>
      </c>
      <c r="H1040" s="126">
        <v>1</v>
      </c>
      <c r="I1040" s="117">
        <v>411.15</v>
      </c>
      <c r="J1040" s="117">
        <v>369.45</v>
      </c>
      <c r="K1040" s="117">
        <v>369.45</v>
      </c>
      <c r="L1040" s="127">
        <v>17</v>
      </c>
      <c r="M1040" s="126" t="s">
        <v>271</v>
      </c>
      <c r="N1040" s="126" t="s">
        <v>275</v>
      </c>
      <c r="O1040" s="124" t="s">
        <v>329</v>
      </c>
      <c r="P1040" s="118">
        <v>1660239.97</v>
      </c>
      <c r="Q1040" s="118">
        <v>0</v>
      </c>
      <c r="R1040" s="118">
        <v>0</v>
      </c>
      <c r="S1040" s="118">
        <f t="shared" si="149"/>
        <v>1660239.97</v>
      </c>
      <c r="T1040" s="118">
        <f t="shared" si="146"/>
        <v>4038.0395719323851</v>
      </c>
      <c r="U1040" s="118">
        <f>Y1040</f>
        <v>4699.1754834002195</v>
      </c>
      <c r="V1040" s="183">
        <f t="shared" si="140"/>
        <v>661.13591146783438</v>
      </c>
      <c r="W1040" s="183"/>
      <c r="X1040" s="183"/>
      <c r="Y1040" s="64">
        <f t="shared" si="141"/>
        <v>4699.1754834002195</v>
      </c>
      <c r="AA1040" s="64">
        <f t="shared" si="142"/>
        <v>370</v>
      </c>
      <c r="AH1040" s="64" t="e">
        <f t="shared" si="143"/>
        <v>#N/A</v>
      </c>
      <c r="AS1040" s="64" t="e">
        <f t="shared" si="144"/>
        <v>#N/A</v>
      </c>
    </row>
    <row r="1041" spans="1:45" s="64" customFormat="1" ht="36" customHeight="1" x14ac:dyDescent="0.9">
      <c r="A1041" s="64">
        <v>1</v>
      </c>
      <c r="B1041" s="92">
        <f>SUBTOTAL(103,$A$942:A1041)</f>
        <v>98</v>
      </c>
      <c r="C1041" s="91" t="s">
        <v>451</v>
      </c>
      <c r="D1041" s="126">
        <v>1966</v>
      </c>
      <c r="E1041" s="126"/>
      <c r="F1041" s="145" t="s">
        <v>273</v>
      </c>
      <c r="G1041" s="126">
        <v>2</v>
      </c>
      <c r="H1041" s="126">
        <v>2</v>
      </c>
      <c r="I1041" s="117">
        <v>667.6</v>
      </c>
      <c r="J1041" s="117">
        <v>626.5</v>
      </c>
      <c r="K1041" s="117">
        <v>586.70000000000005</v>
      </c>
      <c r="L1041" s="127">
        <v>37</v>
      </c>
      <c r="M1041" s="126" t="s">
        <v>271</v>
      </c>
      <c r="N1041" s="126" t="s">
        <v>275</v>
      </c>
      <c r="O1041" s="124" t="s">
        <v>335</v>
      </c>
      <c r="P1041" s="118">
        <v>2407235.63</v>
      </c>
      <c r="Q1041" s="118">
        <v>0</v>
      </c>
      <c r="R1041" s="118">
        <v>0</v>
      </c>
      <c r="S1041" s="118">
        <f t="shared" si="149"/>
        <v>2407235.63</v>
      </c>
      <c r="T1041" s="118">
        <f t="shared" si="146"/>
        <v>3605.8053175554223</v>
      </c>
      <c r="U1041" s="118">
        <f>Y1041</f>
        <v>4145.5272618334329</v>
      </c>
      <c r="V1041" s="183">
        <f t="shared" ref="V1041:V1104" si="151">U1041-T1041</f>
        <v>539.7219442780106</v>
      </c>
      <c r="W1041" s="183"/>
      <c r="X1041" s="183"/>
      <c r="Y1041" s="64">
        <f t="shared" ref="Y1041:Y1104" si="152">AA1041*5221.8/I1041</f>
        <v>4145.5272618334329</v>
      </c>
      <c r="AA1041" s="64">
        <f t="shared" ref="AA1041:AA1104" si="153">VLOOKUP(C1041,AC:AE,2,FALSE)</f>
        <v>530</v>
      </c>
      <c r="AH1041" s="64" t="e">
        <f t="shared" ref="AH1041:AH1104" si="154">VLOOKUP(C1041,AJ:AK,2,FALSE)</f>
        <v>#N/A</v>
      </c>
      <c r="AS1041" s="64" t="e">
        <f t="shared" ref="AS1041:AS1104" si="155">VLOOKUP(C1041,AU:AV,2,FALSE)</f>
        <v>#N/A</v>
      </c>
    </row>
    <row r="1042" spans="1:45" s="64" customFormat="1" ht="36" customHeight="1" x14ac:dyDescent="0.9">
      <c r="A1042" s="64">
        <v>1</v>
      </c>
      <c r="B1042" s="92">
        <f>SUBTOTAL(103,$A$942:A1042)</f>
        <v>99</v>
      </c>
      <c r="C1042" s="91" t="s">
        <v>452</v>
      </c>
      <c r="D1042" s="126">
        <v>1977</v>
      </c>
      <c r="E1042" s="126"/>
      <c r="F1042" s="145" t="s">
        <v>273</v>
      </c>
      <c r="G1042" s="126">
        <v>9</v>
      </c>
      <c r="H1042" s="126">
        <v>1</v>
      </c>
      <c r="I1042" s="117">
        <v>2576</v>
      </c>
      <c r="J1042" s="117">
        <v>2212.6999999999998</v>
      </c>
      <c r="K1042" s="117">
        <v>2123.6999999999998</v>
      </c>
      <c r="L1042" s="127">
        <v>106</v>
      </c>
      <c r="M1042" s="126" t="s">
        <v>271</v>
      </c>
      <c r="N1042" s="126" t="s">
        <v>275</v>
      </c>
      <c r="O1042" s="124" t="s">
        <v>335</v>
      </c>
      <c r="P1042" s="118">
        <v>1790689.27</v>
      </c>
      <c r="Q1042" s="118">
        <v>0</v>
      </c>
      <c r="R1042" s="118">
        <v>0</v>
      </c>
      <c r="S1042" s="118">
        <f t="shared" si="149"/>
        <v>1790689.27</v>
      </c>
      <c r="T1042" s="118">
        <f t="shared" si="146"/>
        <v>695.14335015527956</v>
      </c>
      <c r="U1042" s="118">
        <f>Y1042</f>
        <v>802.7301242236025</v>
      </c>
      <c r="V1042" s="183">
        <f t="shared" si="151"/>
        <v>107.58677406832294</v>
      </c>
      <c r="W1042" s="183"/>
      <c r="X1042" s="183"/>
      <c r="Y1042" s="64">
        <f t="shared" si="152"/>
        <v>802.7301242236025</v>
      </c>
      <c r="AA1042" s="64">
        <f t="shared" si="153"/>
        <v>396</v>
      </c>
      <c r="AH1042" s="64" t="e">
        <f t="shared" si="154"/>
        <v>#N/A</v>
      </c>
      <c r="AS1042" s="64" t="e">
        <f t="shared" si="155"/>
        <v>#N/A</v>
      </c>
    </row>
    <row r="1043" spans="1:45" s="64" customFormat="1" ht="36" customHeight="1" x14ac:dyDescent="0.9">
      <c r="A1043" s="64">
        <v>1</v>
      </c>
      <c r="B1043" s="92">
        <f>SUBTOTAL(103,$A$942:A1043)</f>
        <v>100</v>
      </c>
      <c r="C1043" s="91" t="s">
        <v>839</v>
      </c>
      <c r="D1043" s="126">
        <v>1988</v>
      </c>
      <c r="E1043" s="126"/>
      <c r="F1043" s="145" t="s">
        <v>273</v>
      </c>
      <c r="G1043" s="126">
        <v>9</v>
      </c>
      <c r="H1043" s="126">
        <v>3</v>
      </c>
      <c r="I1043" s="117">
        <v>6719</v>
      </c>
      <c r="J1043" s="117">
        <v>5795.4</v>
      </c>
      <c r="K1043" s="117">
        <v>5264.2</v>
      </c>
      <c r="L1043" s="127">
        <v>304</v>
      </c>
      <c r="M1043" s="126" t="s">
        <v>271</v>
      </c>
      <c r="N1043" s="126" t="s">
        <v>275</v>
      </c>
      <c r="O1043" s="124" t="s">
        <v>1015</v>
      </c>
      <c r="P1043" s="118">
        <v>6300000</v>
      </c>
      <c r="Q1043" s="118">
        <v>0</v>
      </c>
      <c r="R1043" s="118">
        <v>0</v>
      </c>
      <c r="S1043" s="118">
        <f t="shared" si="149"/>
        <v>6300000</v>
      </c>
      <c r="T1043" s="118">
        <f t="shared" si="146"/>
        <v>937.63952969191848</v>
      </c>
      <c r="U1043" s="118">
        <f>AR1043</f>
        <v>985.59889864563183</v>
      </c>
      <c r="V1043" s="183">
        <f t="shared" si="151"/>
        <v>47.959368953713351</v>
      </c>
      <c r="W1043" s="183"/>
      <c r="X1043" s="183"/>
      <c r="Y1043" s="64" t="e">
        <f t="shared" si="152"/>
        <v>#N/A</v>
      </c>
      <c r="AA1043" s="64" t="e">
        <f t="shared" si="153"/>
        <v>#N/A</v>
      </c>
      <c r="AH1043" s="64" t="e">
        <f t="shared" si="154"/>
        <v>#N/A</v>
      </c>
      <c r="AR1043" s="64">
        <f>AS1043*2207413/I1043</f>
        <v>985.59889864563183</v>
      </c>
      <c r="AS1043" s="64">
        <f t="shared" si="155"/>
        <v>3</v>
      </c>
    </row>
    <row r="1044" spans="1:45" s="64" customFormat="1" ht="36" customHeight="1" x14ac:dyDescent="0.9">
      <c r="B1044" s="91" t="s">
        <v>806</v>
      </c>
      <c r="C1044" s="91"/>
      <c r="D1044" s="126" t="s">
        <v>916</v>
      </c>
      <c r="E1044" s="126" t="s">
        <v>916</v>
      </c>
      <c r="F1044" s="126" t="s">
        <v>916</v>
      </c>
      <c r="G1044" s="126" t="s">
        <v>916</v>
      </c>
      <c r="H1044" s="126" t="s">
        <v>916</v>
      </c>
      <c r="I1044" s="117">
        <f>SUM(I1045:I1055)</f>
        <v>28484.610000000004</v>
      </c>
      <c r="J1044" s="117">
        <f>SUM(J1045:J1055)</f>
        <v>20082.5</v>
      </c>
      <c r="K1044" s="117">
        <f>SUM(K1045:K1055)</f>
        <v>19493.600000000002</v>
      </c>
      <c r="L1044" s="127">
        <f>SUM(L1045:L1055)</f>
        <v>850</v>
      </c>
      <c r="M1044" s="126" t="s">
        <v>916</v>
      </c>
      <c r="N1044" s="126" t="s">
        <v>916</v>
      </c>
      <c r="O1044" s="124" t="s">
        <v>916</v>
      </c>
      <c r="P1044" s="117">
        <v>46315599.309999995</v>
      </c>
      <c r="Q1044" s="117">
        <f>SUM(Q1045:Q1055)</f>
        <v>0</v>
      </c>
      <c r="R1044" s="117">
        <f>SUM(R1045:R1055)</f>
        <v>0</v>
      </c>
      <c r="S1044" s="117">
        <f>SUM(S1045:S1055)</f>
        <v>46315599.309999995</v>
      </c>
      <c r="T1044" s="118">
        <f t="shared" si="146"/>
        <v>1625.9867805808115</v>
      </c>
      <c r="U1044" s="118">
        <f>MAX(U1045:U1055)</f>
        <v>7752.5092173913044</v>
      </c>
      <c r="V1044" s="183">
        <f t="shared" si="151"/>
        <v>6126.5224368104928</v>
      </c>
      <c r="W1044" s="183"/>
      <c r="X1044" s="183"/>
      <c r="Y1044" s="64" t="e">
        <f t="shared" si="152"/>
        <v>#N/A</v>
      </c>
      <c r="AA1044" s="64" t="e">
        <f t="shared" si="153"/>
        <v>#N/A</v>
      </c>
      <c r="AH1044" s="64" t="e">
        <f t="shared" si="154"/>
        <v>#N/A</v>
      </c>
      <c r="AS1044" s="64" t="e">
        <f t="shared" si="155"/>
        <v>#N/A</v>
      </c>
    </row>
    <row r="1045" spans="1:45" s="64" customFormat="1" ht="36" customHeight="1" x14ac:dyDescent="0.9">
      <c r="A1045" s="64">
        <v>1</v>
      </c>
      <c r="B1045" s="92">
        <f>SUBTOTAL(103,$A$942:A1045)</f>
        <v>101</v>
      </c>
      <c r="C1045" s="91" t="s">
        <v>807</v>
      </c>
      <c r="D1045" s="126">
        <v>1961</v>
      </c>
      <c r="E1045" s="126"/>
      <c r="F1045" s="145" t="s">
        <v>273</v>
      </c>
      <c r="G1045" s="126">
        <v>3</v>
      </c>
      <c r="H1045" s="126">
        <v>2</v>
      </c>
      <c r="I1045" s="117">
        <v>1044</v>
      </c>
      <c r="J1045" s="117">
        <v>968.1</v>
      </c>
      <c r="K1045" s="117">
        <v>968.1</v>
      </c>
      <c r="L1045" s="127">
        <v>46</v>
      </c>
      <c r="M1045" s="126" t="s">
        <v>271</v>
      </c>
      <c r="N1045" s="126" t="s">
        <v>275</v>
      </c>
      <c r="O1045" s="124" t="s">
        <v>826</v>
      </c>
      <c r="P1045" s="118">
        <v>2532230.7999999998</v>
      </c>
      <c r="Q1045" s="118">
        <v>0</v>
      </c>
      <c r="R1045" s="118">
        <v>0</v>
      </c>
      <c r="S1045" s="118">
        <f t="shared" ref="S1045:S1055" si="156">P1045-Q1045-R1045</f>
        <v>2532230.7999999998</v>
      </c>
      <c r="T1045" s="118">
        <f t="shared" si="146"/>
        <v>2425.5084291187736</v>
      </c>
      <c r="U1045" s="118">
        <f>Y1045</f>
        <v>2530.8724137931035</v>
      </c>
      <c r="V1045" s="183">
        <f t="shared" si="151"/>
        <v>105.36398467432991</v>
      </c>
      <c r="W1045" s="183"/>
      <c r="X1045" s="183"/>
      <c r="Y1045" s="64">
        <f t="shared" si="152"/>
        <v>2530.8724137931035</v>
      </c>
      <c r="AA1045" s="64">
        <f t="shared" si="153"/>
        <v>506</v>
      </c>
      <c r="AH1045" s="64" t="e">
        <f t="shared" si="154"/>
        <v>#N/A</v>
      </c>
      <c r="AS1045" s="64" t="e">
        <f t="shared" si="155"/>
        <v>#N/A</v>
      </c>
    </row>
    <row r="1046" spans="1:45" s="64" customFormat="1" ht="36" customHeight="1" x14ac:dyDescent="0.9">
      <c r="A1046" s="64">
        <v>1</v>
      </c>
      <c r="B1046" s="92">
        <f>SUBTOTAL(103,$A$942:A1046)</f>
        <v>102</v>
      </c>
      <c r="C1046" s="91" t="s">
        <v>808</v>
      </c>
      <c r="D1046" s="126">
        <v>1960</v>
      </c>
      <c r="E1046" s="126"/>
      <c r="F1046" s="145" t="s">
        <v>273</v>
      </c>
      <c r="G1046" s="126">
        <v>2</v>
      </c>
      <c r="H1046" s="126">
        <v>2</v>
      </c>
      <c r="I1046" s="117">
        <v>711.5</v>
      </c>
      <c r="J1046" s="117">
        <v>515.1</v>
      </c>
      <c r="K1046" s="117">
        <v>515.1</v>
      </c>
      <c r="L1046" s="127">
        <v>13</v>
      </c>
      <c r="M1046" s="126" t="s">
        <v>271</v>
      </c>
      <c r="N1046" s="126" t="s">
        <v>272</v>
      </c>
      <c r="O1046" s="124" t="s">
        <v>274</v>
      </c>
      <c r="P1046" s="118">
        <v>2386020.4</v>
      </c>
      <c r="Q1046" s="118">
        <v>0</v>
      </c>
      <c r="R1046" s="118">
        <v>0</v>
      </c>
      <c r="S1046" s="118">
        <f t="shared" si="156"/>
        <v>2386020.4</v>
      </c>
      <c r="T1046" s="118">
        <f t="shared" si="146"/>
        <v>3353.5072382290932</v>
      </c>
      <c r="U1046" s="118">
        <f>Y1046</f>
        <v>3508.1101897399858</v>
      </c>
      <c r="V1046" s="183">
        <f t="shared" si="151"/>
        <v>154.60295151089258</v>
      </c>
      <c r="W1046" s="183"/>
      <c r="X1046" s="183"/>
      <c r="Y1046" s="64">
        <f t="shared" si="152"/>
        <v>3508.1101897399858</v>
      </c>
      <c r="AA1046" s="64">
        <f t="shared" si="153"/>
        <v>478</v>
      </c>
      <c r="AH1046" s="64" t="e">
        <f t="shared" si="154"/>
        <v>#N/A</v>
      </c>
      <c r="AS1046" s="64" t="e">
        <f t="shared" si="155"/>
        <v>#N/A</v>
      </c>
    </row>
    <row r="1047" spans="1:45" s="64" customFormat="1" ht="36" customHeight="1" x14ac:dyDescent="0.9">
      <c r="A1047" s="64">
        <v>1</v>
      </c>
      <c r="B1047" s="92">
        <f>SUBTOTAL(103,$A$942:A1047)</f>
        <v>103</v>
      </c>
      <c r="C1047" s="91" t="s">
        <v>1106</v>
      </c>
      <c r="D1047" s="126">
        <v>1962</v>
      </c>
      <c r="E1047" s="126"/>
      <c r="F1047" s="145" t="s">
        <v>273</v>
      </c>
      <c r="G1047" s="126">
        <v>4</v>
      </c>
      <c r="H1047" s="126">
        <v>2</v>
      </c>
      <c r="I1047" s="117">
        <v>1321.3</v>
      </c>
      <c r="J1047" s="117">
        <v>1280</v>
      </c>
      <c r="K1047" s="117">
        <v>975</v>
      </c>
      <c r="L1047" s="127">
        <v>60</v>
      </c>
      <c r="M1047" s="126" t="s">
        <v>271</v>
      </c>
      <c r="N1047" s="126" t="s">
        <v>275</v>
      </c>
      <c r="O1047" s="124" t="s">
        <v>830</v>
      </c>
      <c r="P1047" s="118">
        <v>3009600</v>
      </c>
      <c r="Q1047" s="118">
        <v>0</v>
      </c>
      <c r="R1047" s="118">
        <v>0</v>
      </c>
      <c r="S1047" s="118">
        <f t="shared" si="156"/>
        <v>3009600</v>
      </c>
      <c r="T1047" s="118">
        <f t="shared" si="146"/>
        <v>2277.7567547112694</v>
      </c>
      <c r="U1047" s="118">
        <f>Y1047</f>
        <v>2477.9146295315222</v>
      </c>
      <c r="V1047" s="183">
        <f t="shared" si="151"/>
        <v>200.1578748202528</v>
      </c>
      <c r="W1047" s="183"/>
      <c r="X1047" s="183"/>
      <c r="Y1047" s="64">
        <f t="shared" si="152"/>
        <v>2477.9146295315222</v>
      </c>
      <c r="AA1047" s="64">
        <f t="shared" si="153"/>
        <v>627</v>
      </c>
      <c r="AH1047" s="64" t="e">
        <f t="shared" si="154"/>
        <v>#N/A</v>
      </c>
      <c r="AS1047" s="64" t="e">
        <f t="shared" si="155"/>
        <v>#N/A</v>
      </c>
    </row>
    <row r="1048" spans="1:45" s="64" customFormat="1" ht="36" customHeight="1" x14ac:dyDescent="0.9">
      <c r="A1048" s="64">
        <v>1</v>
      </c>
      <c r="B1048" s="92">
        <f>SUBTOTAL(103,$A$942:A1048)</f>
        <v>104</v>
      </c>
      <c r="C1048" s="91" t="s">
        <v>810</v>
      </c>
      <c r="D1048" s="126">
        <v>1991</v>
      </c>
      <c r="E1048" s="126"/>
      <c r="F1048" s="145" t="s">
        <v>326</v>
      </c>
      <c r="G1048" s="126">
        <v>9</v>
      </c>
      <c r="H1048" s="126">
        <v>4</v>
      </c>
      <c r="I1048" s="117">
        <v>10990.1</v>
      </c>
      <c r="J1048" s="117">
        <v>7793.3</v>
      </c>
      <c r="K1048" s="117">
        <v>7793.3</v>
      </c>
      <c r="L1048" s="127">
        <v>318</v>
      </c>
      <c r="M1048" s="126" t="s">
        <v>271</v>
      </c>
      <c r="N1048" s="126" t="s">
        <v>275</v>
      </c>
      <c r="O1048" s="124" t="s">
        <v>832</v>
      </c>
      <c r="P1048" s="118">
        <v>8452796.0600000005</v>
      </c>
      <c r="Q1048" s="118">
        <v>0</v>
      </c>
      <c r="R1048" s="118">
        <v>0</v>
      </c>
      <c r="S1048" s="118">
        <f t="shared" si="156"/>
        <v>8452796.0600000005</v>
      </c>
      <c r="T1048" s="118">
        <f t="shared" si="146"/>
        <v>769.12822085331345</v>
      </c>
      <c r="U1048" s="118">
        <f>AR1048</f>
        <v>803.41871320552127</v>
      </c>
      <c r="V1048" s="183">
        <f t="shared" si="151"/>
        <v>34.290492352207821</v>
      </c>
      <c r="W1048" s="183"/>
      <c r="X1048" s="183"/>
      <c r="Y1048" s="64" t="e">
        <f t="shared" si="152"/>
        <v>#N/A</v>
      </c>
      <c r="AA1048" s="64" t="e">
        <f t="shared" si="153"/>
        <v>#N/A</v>
      </c>
      <c r="AH1048" s="64" t="e">
        <f t="shared" si="154"/>
        <v>#N/A</v>
      </c>
      <c r="AR1048" s="64">
        <f>AS1048*2207413/I1048</f>
        <v>803.41871320552127</v>
      </c>
      <c r="AS1048" s="64">
        <f t="shared" si="155"/>
        <v>4</v>
      </c>
    </row>
    <row r="1049" spans="1:45" s="64" customFormat="1" ht="36" customHeight="1" x14ac:dyDescent="0.9">
      <c r="A1049" s="64">
        <v>1</v>
      </c>
      <c r="B1049" s="92">
        <f>SUBTOTAL(103,$A$942:A1049)</f>
        <v>105</v>
      </c>
      <c r="C1049" s="91" t="s">
        <v>812</v>
      </c>
      <c r="D1049" s="126">
        <v>1937</v>
      </c>
      <c r="E1049" s="126"/>
      <c r="F1049" s="145" t="s">
        <v>273</v>
      </c>
      <c r="G1049" s="126">
        <v>3</v>
      </c>
      <c r="H1049" s="126">
        <v>4</v>
      </c>
      <c r="I1049" s="117">
        <v>2758</v>
      </c>
      <c r="J1049" s="117">
        <v>1462.7</v>
      </c>
      <c r="K1049" s="117">
        <v>1347.2</v>
      </c>
      <c r="L1049" s="127">
        <v>62</v>
      </c>
      <c r="M1049" s="126" t="s">
        <v>271</v>
      </c>
      <c r="N1049" s="126" t="s">
        <v>275</v>
      </c>
      <c r="O1049" s="124" t="s">
        <v>830</v>
      </c>
      <c r="P1049" s="118">
        <v>6961648</v>
      </c>
      <c r="Q1049" s="118">
        <v>0</v>
      </c>
      <c r="R1049" s="118">
        <v>0</v>
      </c>
      <c r="S1049" s="118">
        <f t="shared" si="156"/>
        <v>6961648</v>
      </c>
      <c r="T1049" s="118">
        <f t="shared" si="146"/>
        <v>2524.16533720087</v>
      </c>
      <c r="U1049" s="118">
        <f>Y1049</f>
        <v>2574.9267585206671</v>
      </c>
      <c r="V1049" s="183">
        <f t="shared" si="151"/>
        <v>50.761421319797137</v>
      </c>
      <c r="W1049" s="183"/>
      <c r="X1049" s="183"/>
      <c r="Y1049" s="64">
        <f t="shared" si="152"/>
        <v>2574.9267585206671</v>
      </c>
      <c r="AA1049" s="64">
        <f t="shared" si="153"/>
        <v>1360</v>
      </c>
      <c r="AH1049" s="64" t="e">
        <f t="shared" si="154"/>
        <v>#N/A</v>
      </c>
      <c r="AS1049" s="64" t="e">
        <f t="shared" si="155"/>
        <v>#N/A</v>
      </c>
    </row>
    <row r="1050" spans="1:45" s="64" customFormat="1" ht="36" customHeight="1" x14ac:dyDescent="0.9">
      <c r="A1050" s="64">
        <v>1</v>
      </c>
      <c r="B1050" s="92">
        <f>SUBTOTAL(103,$A$942:A1050)</f>
        <v>106</v>
      </c>
      <c r="C1050" s="91" t="s">
        <v>813</v>
      </c>
      <c r="D1050" s="126">
        <v>1959</v>
      </c>
      <c r="E1050" s="126"/>
      <c r="F1050" s="145" t="s">
        <v>273</v>
      </c>
      <c r="G1050" s="126">
        <v>4</v>
      </c>
      <c r="H1050" s="126">
        <v>2</v>
      </c>
      <c r="I1050" s="117">
        <v>1352</v>
      </c>
      <c r="J1050" s="117">
        <v>809</v>
      </c>
      <c r="K1050" s="117">
        <v>809</v>
      </c>
      <c r="L1050" s="127">
        <v>67</v>
      </c>
      <c r="M1050" s="126" t="s">
        <v>271</v>
      </c>
      <c r="N1050" s="126" t="s">
        <v>275</v>
      </c>
      <c r="O1050" s="124" t="s">
        <v>830</v>
      </c>
      <c r="P1050" s="118">
        <v>3278948.1999999997</v>
      </c>
      <c r="Q1050" s="118">
        <v>0</v>
      </c>
      <c r="R1050" s="118">
        <v>0</v>
      </c>
      <c r="S1050" s="118">
        <f t="shared" si="156"/>
        <v>3278948.1999999997</v>
      </c>
      <c r="T1050" s="118">
        <f t="shared" si="146"/>
        <v>2425.2575443786982</v>
      </c>
      <c r="U1050" s="118">
        <f>Y1050</f>
        <v>2506.6184911242603</v>
      </c>
      <c r="V1050" s="183">
        <f t="shared" si="151"/>
        <v>81.36094674556216</v>
      </c>
      <c r="W1050" s="183"/>
      <c r="X1050" s="183"/>
      <c r="Y1050" s="64">
        <f t="shared" si="152"/>
        <v>2506.6184911242603</v>
      </c>
      <c r="AA1050" s="64">
        <f t="shared" si="153"/>
        <v>649</v>
      </c>
      <c r="AH1050" s="64" t="e">
        <f t="shared" si="154"/>
        <v>#N/A</v>
      </c>
      <c r="AS1050" s="64" t="e">
        <f t="shared" si="155"/>
        <v>#N/A</v>
      </c>
    </row>
    <row r="1051" spans="1:45" s="64" customFormat="1" ht="36" customHeight="1" x14ac:dyDescent="0.9">
      <c r="A1051" s="64">
        <v>1</v>
      </c>
      <c r="B1051" s="92">
        <f>SUBTOTAL(103,$A$942:A1051)</f>
        <v>107</v>
      </c>
      <c r="C1051" s="91" t="s">
        <v>814</v>
      </c>
      <c r="D1051" s="126">
        <v>1965</v>
      </c>
      <c r="E1051" s="126"/>
      <c r="F1051" s="145" t="s">
        <v>273</v>
      </c>
      <c r="G1051" s="126">
        <v>5</v>
      </c>
      <c r="H1051" s="126">
        <v>2</v>
      </c>
      <c r="I1051" s="117">
        <v>2042.45</v>
      </c>
      <c r="J1051" s="117">
        <v>1565</v>
      </c>
      <c r="K1051" s="117">
        <v>1565</v>
      </c>
      <c r="L1051" s="127">
        <v>65</v>
      </c>
      <c r="M1051" s="126" t="s">
        <v>271</v>
      </c>
      <c r="N1051" s="126" t="s">
        <v>275</v>
      </c>
      <c r="O1051" s="124" t="s">
        <v>828</v>
      </c>
      <c r="P1051" s="118">
        <v>3336388</v>
      </c>
      <c r="Q1051" s="118">
        <v>0</v>
      </c>
      <c r="R1051" s="118">
        <v>0</v>
      </c>
      <c r="S1051" s="118">
        <f t="shared" si="156"/>
        <v>3336388</v>
      </c>
      <c r="T1051" s="118">
        <f t="shared" si="146"/>
        <v>1633.5224852505569</v>
      </c>
      <c r="U1051" s="118">
        <f>Y1051</f>
        <v>1687.3793728120638</v>
      </c>
      <c r="V1051" s="183">
        <f t="shared" si="151"/>
        <v>53.856887561506937</v>
      </c>
      <c r="W1051" s="183"/>
      <c r="X1051" s="183"/>
      <c r="Y1051" s="64">
        <f t="shared" si="152"/>
        <v>1687.3793728120638</v>
      </c>
      <c r="AA1051" s="64">
        <f t="shared" si="153"/>
        <v>660</v>
      </c>
      <c r="AH1051" s="64" t="e">
        <f t="shared" si="154"/>
        <v>#N/A</v>
      </c>
      <c r="AS1051" s="64" t="e">
        <f t="shared" si="155"/>
        <v>#N/A</v>
      </c>
    </row>
    <row r="1052" spans="1:45" s="64" customFormat="1" ht="36" customHeight="1" x14ac:dyDescent="0.9">
      <c r="A1052" s="64">
        <v>1</v>
      </c>
      <c r="B1052" s="92">
        <f>SUBTOTAL(103,$A$942:A1052)</f>
        <v>108</v>
      </c>
      <c r="C1052" s="91" t="s">
        <v>815</v>
      </c>
      <c r="D1052" s="126">
        <v>1955</v>
      </c>
      <c r="E1052" s="126"/>
      <c r="F1052" s="145" t="s">
        <v>344</v>
      </c>
      <c r="G1052" s="126">
        <v>2</v>
      </c>
      <c r="H1052" s="126">
        <v>2</v>
      </c>
      <c r="I1052" s="117">
        <v>685.7</v>
      </c>
      <c r="J1052" s="117">
        <v>629.20000000000005</v>
      </c>
      <c r="K1052" s="117">
        <v>629.20000000000005</v>
      </c>
      <c r="L1052" s="127">
        <v>28</v>
      </c>
      <c r="M1052" s="126" t="s">
        <v>271</v>
      </c>
      <c r="N1052" s="126" t="s">
        <v>272</v>
      </c>
      <c r="O1052" s="124" t="s">
        <v>274</v>
      </c>
      <c r="P1052" s="118">
        <v>4001516.58</v>
      </c>
      <c r="Q1052" s="118">
        <v>0</v>
      </c>
      <c r="R1052" s="118">
        <v>0</v>
      </c>
      <c r="S1052" s="118">
        <f t="shared" si="156"/>
        <v>4001516.58</v>
      </c>
      <c r="T1052" s="118">
        <f t="shared" si="146"/>
        <v>5835.6665888872685</v>
      </c>
      <c r="U1052" s="118">
        <f>AG1052</f>
        <v>6159.7524475524469</v>
      </c>
      <c r="V1052" s="183">
        <f t="shared" si="151"/>
        <v>324.08585866517842</v>
      </c>
      <c r="W1052" s="183"/>
      <c r="X1052" s="183"/>
      <c r="Y1052" s="64" t="e">
        <f t="shared" si="152"/>
        <v>#N/A</v>
      </c>
      <c r="AA1052" s="64" t="e">
        <f t="shared" si="153"/>
        <v>#N/A</v>
      </c>
      <c r="AG1052" s="64">
        <f>AH1052*6191.24/J1052</f>
        <v>6159.7524475524469</v>
      </c>
      <c r="AH1052" s="64">
        <f t="shared" si="154"/>
        <v>626</v>
      </c>
      <c r="AS1052" s="64" t="e">
        <f t="shared" si="155"/>
        <v>#N/A</v>
      </c>
    </row>
    <row r="1053" spans="1:45" s="64" customFormat="1" ht="36" customHeight="1" x14ac:dyDescent="0.9">
      <c r="A1053" s="64">
        <v>1</v>
      </c>
      <c r="B1053" s="92">
        <f>SUBTOTAL(103,$A$942:A1053)</f>
        <v>109</v>
      </c>
      <c r="C1053" s="91" t="s">
        <v>816</v>
      </c>
      <c r="D1053" s="126">
        <v>1975</v>
      </c>
      <c r="E1053" s="126"/>
      <c r="F1053" s="145" t="s">
        <v>273</v>
      </c>
      <c r="G1053" s="126">
        <v>5</v>
      </c>
      <c r="H1053" s="126">
        <v>6</v>
      </c>
      <c r="I1053" s="117">
        <v>6824.86</v>
      </c>
      <c r="J1053" s="117">
        <v>4475.3</v>
      </c>
      <c r="K1053" s="117">
        <v>4306.8999999999996</v>
      </c>
      <c r="L1053" s="127">
        <v>160</v>
      </c>
      <c r="M1053" s="126" t="s">
        <v>271</v>
      </c>
      <c r="N1053" s="126" t="s">
        <v>275</v>
      </c>
      <c r="O1053" s="124" t="s">
        <v>835</v>
      </c>
      <c r="P1053" s="118">
        <v>8460275.6699999981</v>
      </c>
      <c r="Q1053" s="118">
        <v>0</v>
      </c>
      <c r="R1053" s="118">
        <v>0</v>
      </c>
      <c r="S1053" s="118">
        <f t="shared" si="156"/>
        <v>8460275.6699999981</v>
      </c>
      <c r="T1053" s="118">
        <f t="shared" si="146"/>
        <v>1239.6262590001843</v>
      </c>
      <c r="U1053" s="118">
        <f>Y1053</f>
        <v>1566.5721348130219</v>
      </c>
      <c r="V1053" s="183">
        <f t="shared" si="151"/>
        <v>326.94587581283758</v>
      </c>
      <c r="W1053" s="183"/>
      <c r="X1053" s="183"/>
      <c r="Y1053" s="64">
        <f t="shared" si="152"/>
        <v>1566.5721348130219</v>
      </c>
      <c r="AA1053" s="64">
        <f t="shared" si="153"/>
        <v>2047.5</v>
      </c>
      <c r="AH1053" s="64" t="e">
        <f t="shared" si="154"/>
        <v>#N/A</v>
      </c>
      <c r="AS1053" s="64" t="e">
        <f t="shared" si="155"/>
        <v>#N/A</v>
      </c>
    </row>
    <row r="1054" spans="1:45" s="64" customFormat="1" ht="36" customHeight="1" x14ac:dyDescent="0.9">
      <c r="A1054" s="64">
        <v>1</v>
      </c>
      <c r="B1054" s="92">
        <f>SUBTOTAL(103,$A$942:A1054)</f>
        <v>110</v>
      </c>
      <c r="C1054" s="91" t="s">
        <v>838</v>
      </c>
      <c r="D1054" s="126">
        <v>1959</v>
      </c>
      <c r="E1054" s="126"/>
      <c r="F1054" s="145" t="s">
        <v>273</v>
      </c>
      <c r="G1054" s="126">
        <v>2</v>
      </c>
      <c r="H1054" s="126">
        <v>1</v>
      </c>
      <c r="I1054" s="117">
        <v>309.2</v>
      </c>
      <c r="J1054" s="117">
        <v>287.5</v>
      </c>
      <c r="K1054" s="117">
        <v>287.5</v>
      </c>
      <c r="L1054" s="127">
        <v>14</v>
      </c>
      <c r="M1054" s="126" t="s">
        <v>271</v>
      </c>
      <c r="N1054" s="126" t="s">
        <v>275</v>
      </c>
      <c r="O1054" s="124" t="s">
        <v>1014</v>
      </c>
      <c r="P1054" s="118">
        <v>1911891.6</v>
      </c>
      <c r="Q1054" s="118">
        <v>0</v>
      </c>
      <c r="R1054" s="118">
        <v>0</v>
      </c>
      <c r="S1054" s="118">
        <f t="shared" si="156"/>
        <v>1911891.6</v>
      </c>
      <c r="T1054" s="118">
        <f t="shared" si="146"/>
        <v>6183.3492884864172</v>
      </c>
      <c r="U1054" s="118">
        <f>AG1054</f>
        <v>7752.5092173913044</v>
      </c>
      <c r="V1054" s="183">
        <f t="shared" si="151"/>
        <v>1569.1599289048872</v>
      </c>
      <c r="W1054" s="183"/>
      <c r="X1054" s="183"/>
      <c r="Y1054" s="64" t="e">
        <f t="shared" si="152"/>
        <v>#N/A</v>
      </c>
      <c r="AA1054" s="64" t="e">
        <f t="shared" si="153"/>
        <v>#N/A</v>
      </c>
      <c r="AG1054" s="64">
        <f>AH1054*6191.24/J1054</f>
        <v>7752.5092173913044</v>
      </c>
      <c r="AH1054" s="64">
        <f t="shared" si="154"/>
        <v>360</v>
      </c>
      <c r="AS1054" s="64" t="e">
        <f t="shared" si="155"/>
        <v>#N/A</v>
      </c>
    </row>
    <row r="1055" spans="1:45" s="64" customFormat="1" ht="36" customHeight="1" x14ac:dyDescent="0.9">
      <c r="A1055" s="64">
        <v>1</v>
      </c>
      <c r="B1055" s="92">
        <f>SUBTOTAL(103,$A$942:A1055)</f>
        <v>111</v>
      </c>
      <c r="C1055" s="91" t="s">
        <v>1655</v>
      </c>
      <c r="D1055" s="126">
        <v>1958</v>
      </c>
      <c r="E1055" s="126"/>
      <c r="F1055" s="145" t="s">
        <v>273</v>
      </c>
      <c r="G1055" s="126">
        <v>2</v>
      </c>
      <c r="H1055" s="126">
        <v>2</v>
      </c>
      <c r="I1055" s="117">
        <v>445.5</v>
      </c>
      <c r="J1055" s="117">
        <v>297.3</v>
      </c>
      <c r="K1055" s="117">
        <v>297.3</v>
      </c>
      <c r="L1055" s="127">
        <v>17</v>
      </c>
      <c r="M1055" s="126" t="s">
        <v>271</v>
      </c>
      <c r="N1055" s="126" t="s">
        <v>272</v>
      </c>
      <c r="O1055" s="124" t="s">
        <v>274</v>
      </c>
      <c r="P1055" s="118">
        <v>1984284</v>
      </c>
      <c r="Q1055" s="118">
        <v>0</v>
      </c>
      <c r="R1055" s="118">
        <v>0</v>
      </c>
      <c r="S1055" s="118">
        <f t="shared" si="156"/>
        <v>1984284</v>
      </c>
      <c r="T1055" s="118">
        <f t="shared" si="146"/>
        <v>4454.060606060606</v>
      </c>
      <c r="U1055" s="118">
        <f>Y1055</f>
        <v>4454.060606060606</v>
      </c>
      <c r="V1055" s="183">
        <f t="shared" si="151"/>
        <v>0</v>
      </c>
      <c r="W1055" s="183"/>
      <c r="X1055" s="183"/>
      <c r="Y1055" s="64">
        <f t="shared" si="152"/>
        <v>4454.060606060606</v>
      </c>
      <c r="AA1055" s="64">
        <f t="shared" si="153"/>
        <v>380</v>
      </c>
      <c r="AH1055" s="64" t="e">
        <f t="shared" si="154"/>
        <v>#N/A</v>
      </c>
      <c r="AS1055" s="64" t="e">
        <f t="shared" si="155"/>
        <v>#N/A</v>
      </c>
    </row>
    <row r="1056" spans="1:45" s="64" customFormat="1" ht="36" customHeight="1" x14ac:dyDescent="0.9">
      <c r="B1056" s="91" t="s">
        <v>783</v>
      </c>
      <c r="C1056" s="172"/>
      <c r="D1056" s="126" t="s">
        <v>916</v>
      </c>
      <c r="E1056" s="126" t="s">
        <v>916</v>
      </c>
      <c r="F1056" s="126" t="s">
        <v>916</v>
      </c>
      <c r="G1056" s="126" t="s">
        <v>916</v>
      </c>
      <c r="H1056" s="126" t="s">
        <v>916</v>
      </c>
      <c r="I1056" s="117">
        <f>I1057+I1058</f>
        <v>13712.7</v>
      </c>
      <c r="J1056" s="117">
        <f>J1057+J1058</f>
        <v>12166.6</v>
      </c>
      <c r="K1056" s="117">
        <f>K1057+K1058</f>
        <v>11718.300000000001</v>
      </c>
      <c r="L1056" s="127">
        <f>L1057+L1058</f>
        <v>336</v>
      </c>
      <c r="M1056" s="126" t="s">
        <v>916</v>
      </c>
      <c r="N1056" s="126" t="s">
        <v>916</v>
      </c>
      <c r="O1056" s="124" t="s">
        <v>916</v>
      </c>
      <c r="P1056" s="117">
        <v>21856214.649999999</v>
      </c>
      <c r="Q1056" s="117">
        <f>Q1057+Q1058</f>
        <v>0</v>
      </c>
      <c r="R1056" s="117">
        <f>R1057+R1058</f>
        <v>0</v>
      </c>
      <c r="S1056" s="117">
        <f>S1057+S1058</f>
        <v>21856214.649999999</v>
      </c>
      <c r="T1056" s="118">
        <f t="shared" si="146"/>
        <v>1593.8666090558386</v>
      </c>
      <c r="U1056" s="118">
        <f>MAX(U1057:U1058)</f>
        <v>5020.026672052255</v>
      </c>
      <c r="V1056" s="183">
        <f t="shared" si="151"/>
        <v>3426.1600629964164</v>
      </c>
      <c r="W1056" s="183"/>
      <c r="X1056" s="183"/>
      <c r="Y1056" s="64" t="e">
        <f t="shared" si="152"/>
        <v>#N/A</v>
      </c>
      <c r="AA1056" s="64" t="e">
        <f t="shared" si="153"/>
        <v>#N/A</v>
      </c>
      <c r="AH1056" s="64" t="e">
        <f t="shared" si="154"/>
        <v>#N/A</v>
      </c>
      <c r="AS1056" s="64" t="e">
        <f t="shared" si="155"/>
        <v>#N/A</v>
      </c>
    </row>
    <row r="1057" spans="1:45" s="64" customFormat="1" ht="36" customHeight="1" x14ac:dyDescent="0.9">
      <c r="A1057" s="64">
        <v>1</v>
      </c>
      <c r="B1057" s="92">
        <f>SUBTOTAL(103,$A$942:A1057)</f>
        <v>112</v>
      </c>
      <c r="C1057" s="91" t="s">
        <v>394</v>
      </c>
      <c r="D1057" s="126">
        <v>1981</v>
      </c>
      <c r="E1057" s="126">
        <v>2016</v>
      </c>
      <c r="F1057" s="145" t="s">
        <v>319</v>
      </c>
      <c r="G1057" s="126">
        <v>5</v>
      </c>
      <c r="H1057" s="126">
        <v>5</v>
      </c>
      <c r="I1057" s="117">
        <v>3982.4</v>
      </c>
      <c r="J1057" s="117">
        <v>3501.5</v>
      </c>
      <c r="K1057" s="117">
        <v>3375.6</v>
      </c>
      <c r="L1057" s="127">
        <v>162</v>
      </c>
      <c r="M1057" s="126" t="s">
        <v>271</v>
      </c>
      <c r="N1057" s="126" t="s">
        <v>275</v>
      </c>
      <c r="O1057" s="124" t="s">
        <v>327</v>
      </c>
      <c r="P1057" s="118">
        <v>7550257.2599999998</v>
      </c>
      <c r="Q1057" s="118">
        <v>0</v>
      </c>
      <c r="R1057" s="118">
        <v>0</v>
      </c>
      <c r="S1057" s="118">
        <f>P1057-Q1057-R1057</f>
        <v>7550257.2599999998</v>
      </c>
      <c r="T1057" s="118">
        <f t="shared" si="146"/>
        <v>1895.9063027320208</v>
      </c>
      <c r="U1057" s="118">
        <v>3929.63</v>
      </c>
      <c r="V1057" s="183">
        <f t="shared" si="151"/>
        <v>2033.7236972679793</v>
      </c>
      <c r="W1057" s="183"/>
      <c r="X1057" s="183"/>
      <c r="Y1057" s="64" t="e">
        <f t="shared" si="152"/>
        <v>#N/A</v>
      </c>
      <c r="AA1057" s="64" t="e">
        <f t="shared" si="153"/>
        <v>#N/A</v>
      </c>
      <c r="AH1057" s="64" t="e">
        <f t="shared" si="154"/>
        <v>#N/A</v>
      </c>
      <c r="AS1057" s="64" t="e">
        <f t="shared" si="155"/>
        <v>#N/A</v>
      </c>
    </row>
    <row r="1058" spans="1:45" s="64" customFormat="1" ht="36" customHeight="1" x14ac:dyDescent="0.9">
      <c r="A1058" s="64">
        <v>1</v>
      </c>
      <c r="B1058" s="92">
        <f>SUBTOTAL(103,$A$942:A1058)</f>
        <v>113</v>
      </c>
      <c r="C1058" s="91" t="s">
        <v>395</v>
      </c>
      <c r="D1058" s="126">
        <v>1999</v>
      </c>
      <c r="E1058" s="126">
        <v>2016</v>
      </c>
      <c r="F1058" s="145" t="s">
        <v>319</v>
      </c>
      <c r="G1058" s="126">
        <v>9</v>
      </c>
      <c r="H1058" s="126">
        <v>1</v>
      </c>
      <c r="I1058" s="117">
        <v>9730.3000000000011</v>
      </c>
      <c r="J1058" s="117">
        <v>8665.1</v>
      </c>
      <c r="K1058" s="117">
        <v>8342.7000000000007</v>
      </c>
      <c r="L1058" s="127">
        <v>174</v>
      </c>
      <c r="M1058" s="126" t="s">
        <v>271</v>
      </c>
      <c r="N1058" s="126" t="s">
        <v>275</v>
      </c>
      <c r="O1058" s="124" t="s">
        <v>327</v>
      </c>
      <c r="P1058" s="118">
        <v>14305957.390000001</v>
      </c>
      <c r="Q1058" s="118">
        <v>0</v>
      </c>
      <c r="R1058" s="118">
        <v>0</v>
      </c>
      <c r="S1058" s="118">
        <f>P1058-Q1058-R1058</f>
        <v>14305957.390000001</v>
      </c>
      <c r="T1058" s="118">
        <f t="shared" ref="T1058:T1121" si="157">P1058/I1058</f>
        <v>1470.248336639158</v>
      </c>
      <c r="U1058" s="118">
        <f>AG1058</f>
        <v>5020.026672052255</v>
      </c>
      <c r="V1058" s="183">
        <f t="shared" si="151"/>
        <v>3549.778335413097</v>
      </c>
      <c r="W1058" s="183"/>
      <c r="X1058" s="183"/>
      <c r="Y1058" s="64" t="e">
        <f t="shared" si="152"/>
        <v>#N/A</v>
      </c>
      <c r="AA1058" s="64" t="e">
        <f t="shared" si="153"/>
        <v>#N/A</v>
      </c>
      <c r="AG1058" s="64">
        <f>AH1058*6191.24/J1058</f>
        <v>5020.026672052255</v>
      </c>
      <c r="AH1058" s="64">
        <f t="shared" si="154"/>
        <v>7025.9</v>
      </c>
      <c r="AS1058" s="64" t="e">
        <f t="shared" si="155"/>
        <v>#N/A</v>
      </c>
    </row>
    <row r="1059" spans="1:45" s="64" customFormat="1" ht="36" customHeight="1" x14ac:dyDescent="0.9">
      <c r="B1059" s="91" t="s">
        <v>840</v>
      </c>
      <c r="C1059" s="172"/>
      <c r="D1059" s="126" t="s">
        <v>916</v>
      </c>
      <c r="E1059" s="126" t="s">
        <v>916</v>
      </c>
      <c r="F1059" s="126" t="s">
        <v>916</v>
      </c>
      <c r="G1059" s="126" t="s">
        <v>916</v>
      </c>
      <c r="H1059" s="126" t="s">
        <v>916</v>
      </c>
      <c r="I1059" s="117">
        <f>SUM(I1060:I1067)</f>
        <v>45915.810000000005</v>
      </c>
      <c r="J1059" s="117">
        <f>SUM(J1060:J1067)</f>
        <v>33236.720000000001</v>
      </c>
      <c r="K1059" s="117">
        <f>SUM(K1060:K1067)</f>
        <v>33236.720000000001</v>
      </c>
      <c r="L1059" s="127">
        <f>SUM(L1060:L1067)</f>
        <v>1959</v>
      </c>
      <c r="M1059" s="126" t="s">
        <v>916</v>
      </c>
      <c r="N1059" s="126" t="s">
        <v>916</v>
      </c>
      <c r="O1059" s="124" t="s">
        <v>916</v>
      </c>
      <c r="P1059" s="117">
        <v>51679396.32</v>
      </c>
      <c r="Q1059" s="117">
        <f>SUM(Q1060:Q1067)</f>
        <v>0</v>
      </c>
      <c r="R1059" s="117">
        <f>SUM(R1060:R1067)</f>
        <v>0</v>
      </c>
      <c r="S1059" s="117">
        <f>SUM(S1060:S1067)</f>
        <v>51679396.32</v>
      </c>
      <c r="T1059" s="118">
        <f t="shared" si="157"/>
        <v>1125.5250929908455</v>
      </c>
      <c r="U1059" s="118">
        <f>MAX(U1060:U1067)</f>
        <v>6710.3029820385191</v>
      </c>
      <c r="V1059" s="183">
        <f t="shared" si="151"/>
        <v>5584.7778890476739</v>
      </c>
      <c r="W1059" s="183"/>
      <c r="X1059" s="183"/>
      <c r="Y1059" s="64" t="e">
        <f t="shared" si="152"/>
        <v>#N/A</v>
      </c>
      <c r="AA1059" s="64" t="e">
        <f t="shared" si="153"/>
        <v>#N/A</v>
      </c>
      <c r="AH1059" s="64" t="e">
        <f t="shared" si="154"/>
        <v>#N/A</v>
      </c>
      <c r="AS1059" s="64" t="e">
        <f t="shared" si="155"/>
        <v>#N/A</v>
      </c>
    </row>
    <row r="1060" spans="1:45" s="64" customFormat="1" ht="36" customHeight="1" x14ac:dyDescent="0.9">
      <c r="A1060" s="64">
        <v>1</v>
      </c>
      <c r="B1060" s="92">
        <f>SUBTOTAL(103,$A$942:A1060)</f>
        <v>114</v>
      </c>
      <c r="C1060" s="91" t="s">
        <v>628</v>
      </c>
      <c r="D1060" s="126">
        <v>1967</v>
      </c>
      <c r="E1060" s="126"/>
      <c r="F1060" s="145" t="s">
        <v>273</v>
      </c>
      <c r="G1060" s="126">
        <v>5</v>
      </c>
      <c r="H1060" s="126">
        <v>4</v>
      </c>
      <c r="I1060" s="117">
        <v>5264.54</v>
      </c>
      <c r="J1060" s="117">
        <v>2547.17</v>
      </c>
      <c r="K1060" s="117">
        <v>2547.17</v>
      </c>
      <c r="L1060" s="127">
        <v>100</v>
      </c>
      <c r="M1060" s="126" t="s">
        <v>271</v>
      </c>
      <c r="N1060" s="126" t="s">
        <v>275</v>
      </c>
      <c r="O1060" s="124" t="s">
        <v>729</v>
      </c>
      <c r="P1060" s="118">
        <v>5121801</v>
      </c>
      <c r="Q1060" s="118">
        <v>0</v>
      </c>
      <c r="R1060" s="118">
        <v>0</v>
      </c>
      <c r="S1060" s="118">
        <f t="shared" ref="S1060:S1067" si="158">P1060-Q1060-R1060</f>
        <v>5121801</v>
      </c>
      <c r="T1060" s="118">
        <f t="shared" si="157"/>
        <v>972.8867099499671</v>
      </c>
      <c r="U1060" s="118">
        <f>Y1060</f>
        <v>973.03578280343584</v>
      </c>
      <c r="V1060" s="183">
        <f t="shared" si="151"/>
        <v>0.14907285346873778</v>
      </c>
      <c r="W1060" s="183"/>
      <c r="X1060" s="183"/>
      <c r="Y1060" s="64">
        <f t="shared" si="152"/>
        <v>973.03578280343584</v>
      </c>
      <c r="AA1060" s="64">
        <f t="shared" si="153"/>
        <v>981</v>
      </c>
      <c r="AH1060" s="64" t="e">
        <f t="shared" si="154"/>
        <v>#N/A</v>
      </c>
      <c r="AS1060" s="64" t="e">
        <f t="shared" si="155"/>
        <v>#N/A</v>
      </c>
    </row>
    <row r="1061" spans="1:45" s="64" customFormat="1" ht="36" customHeight="1" x14ac:dyDescent="0.9">
      <c r="A1061" s="64">
        <v>1</v>
      </c>
      <c r="B1061" s="92">
        <f>SUBTOTAL(103,$A$942:A1061)</f>
        <v>115</v>
      </c>
      <c r="C1061" s="91" t="s">
        <v>629</v>
      </c>
      <c r="D1061" s="126">
        <v>1969</v>
      </c>
      <c r="E1061" s="126"/>
      <c r="F1061" s="145" t="s">
        <v>273</v>
      </c>
      <c r="G1061" s="126">
        <v>5</v>
      </c>
      <c r="H1061" s="126">
        <v>8</v>
      </c>
      <c r="I1061" s="117">
        <v>8212.5400000000009</v>
      </c>
      <c r="J1061" s="117">
        <v>5998.64</v>
      </c>
      <c r="K1061" s="117">
        <v>5998.64</v>
      </c>
      <c r="L1061" s="127">
        <v>252</v>
      </c>
      <c r="M1061" s="126" t="s">
        <v>271</v>
      </c>
      <c r="N1061" s="126" t="s">
        <v>275</v>
      </c>
      <c r="O1061" s="124" t="s">
        <v>729</v>
      </c>
      <c r="P1061" s="118">
        <v>8124000</v>
      </c>
      <c r="Q1061" s="118">
        <v>0</v>
      </c>
      <c r="R1061" s="118">
        <v>0</v>
      </c>
      <c r="S1061" s="118">
        <f t="shared" si="158"/>
        <v>8124000</v>
      </c>
      <c r="T1061" s="118">
        <f t="shared" si="157"/>
        <v>989.21892617874607</v>
      </c>
      <c r="U1061" s="118">
        <f>Y1061</f>
        <v>1076.1465393167034</v>
      </c>
      <c r="V1061" s="183">
        <f t="shared" si="151"/>
        <v>86.927613137957337</v>
      </c>
      <c r="W1061" s="183"/>
      <c r="X1061" s="183"/>
      <c r="Y1061" s="64">
        <f t="shared" si="152"/>
        <v>1076.1465393167034</v>
      </c>
      <c r="AA1061" s="64">
        <f t="shared" si="153"/>
        <v>1692.5</v>
      </c>
      <c r="AH1061" s="64" t="e">
        <f t="shared" si="154"/>
        <v>#N/A</v>
      </c>
      <c r="AS1061" s="64" t="e">
        <f t="shared" si="155"/>
        <v>#N/A</v>
      </c>
    </row>
    <row r="1062" spans="1:45" s="64" customFormat="1" ht="36" customHeight="1" x14ac:dyDescent="0.9">
      <c r="A1062" s="64">
        <v>1</v>
      </c>
      <c r="B1062" s="92">
        <f>SUBTOTAL(103,$A$942:A1062)</f>
        <v>116</v>
      </c>
      <c r="C1062" s="91" t="s">
        <v>635</v>
      </c>
      <c r="D1062" s="126">
        <v>1962</v>
      </c>
      <c r="E1062" s="126"/>
      <c r="F1062" s="145" t="s">
        <v>273</v>
      </c>
      <c r="G1062" s="126">
        <v>4</v>
      </c>
      <c r="H1062" s="126">
        <v>3</v>
      </c>
      <c r="I1062" s="117">
        <v>2140.73</v>
      </c>
      <c r="J1062" s="117">
        <v>1833.43</v>
      </c>
      <c r="K1062" s="117">
        <v>1833.43</v>
      </c>
      <c r="L1062" s="127">
        <v>72</v>
      </c>
      <c r="M1062" s="126" t="s">
        <v>271</v>
      </c>
      <c r="N1062" s="126" t="s">
        <v>275</v>
      </c>
      <c r="O1062" s="124" t="s">
        <v>728</v>
      </c>
      <c r="P1062" s="118">
        <v>4742041.0599999996</v>
      </c>
      <c r="Q1062" s="118">
        <v>0</v>
      </c>
      <c r="R1062" s="118">
        <v>0</v>
      </c>
      <c r="S1062" s="118">
        <f t="shared" si="158"/>
        <v>4742041.0599999996</v>
      </c>
      <c r="T1062" s="118">
        <f t="shared" si="157"/>
        <v>2215.1514016246792</v>
      </c>
      <c r="U1062" s="118">
        <f>AG1062</f>
        <v>3914.1882203301998</v>
      </c>
      <c r="V1062" s="183">
        <f t="shared" si="151"/>
        <v>1699.0368187055205</v>
      </c>
      <c r="W1062" s="183"/>
      <c r="X1062" s="183"/>
      <c r="Y1062" s="64" t="e">
        <f t="shared" si="152"/>
        <v>#N/A</v>
      </c>
      <c r="AA1062" s="64" t="e">
        <f t="shared" si="153"/>
        <v>#N/A</v>
      </c>
      <c r="AG1062" s="64">
        <f>AH1062*6191.24/J1062</f>
        <v>3914.1882203301998</v>
      </c>
      <c r="AH1062" s="64">
        <f t="shared" si="154"/>
        <v>1159.1199999999999</v>
      </c>
      <c r="AS1062" s="64" t="e">
        <f t="shared" si="155"/>
        <v>#N/A</v>
      </c>
    </row>
    <row r="1063" spans="1:45" s="64" customFormat="1" ht="36" customHeight="1" x14ac:dyDescent="0.9">
      <c r="A1063" s="64">
        <v>1</v>
      </c>
      <c r="B1063" s="92">
        <f>SUBTOTAL(103,$A$942:A1063)</f>
        <v>117</v>
      </c>
      <c r="C1063" s="91" t="s">
        <v>633</v>
      </c>
      <c r="D1063" s="126">
        <v>1982</v>
      </c>
      <c r="E1063" s="126"/>
      <c r="F1063" s="145" t="s">
        <v>273</v>
      </c>
      <c r="G1063" s="126">
        <v>9</v>
      </c>
      <c r="H1063" s="126">
        <v>6</v>
      </c>
      <c r="I1063" s="117">
        <v>12114.8</v>
      </c>
      <c r="J1063" s="117">
        <v>10694</v>
      </c>
      <c r="K1063" s="117">
        <v>10694</v>
      </c>
      <c r="L1063" s="127">
        <v>559</v>
      </c>
      <c r="M1063" s="126" t="s">
        <v>271</v>
      </c>
      <c r="N1063" s="126" t="s">
        <v>275</v>
      </c>
      <c r="O1063" s="124" t="s">
        <v>731</v>
      </c>
      <c r="P1063" s="118">
        <v>9052752</v>
      </c>
      <c r="Q1063" s="118">
        <v>0</v>
      </c>
      <c r="R1063" s="118">
        <v>0</v>
      </c>
      <c r="S1063" s="118">
        <f t="shared" si="158"/>
        <v>9052752</v>
      </c>
      <c r="T1063" s="118">
        <f t="shared" si="157"/>
        <v>747.2473338396012</v>
      </c>
      <c r="U1063" s="118">
        <f>Y1063</f>
        <v>781.0200416020075</v>
      </c>
      <c r="V1063" s="183">
        <f t="shared" si="151"/>
        <v>33.772707762406299</v>
      </c>
      <c r="W1063" s="183"/>
      <c r="X1063" s="183"/>
      <c r="Y1063" s="64">
        <f t="shared" si="152"/>
        <v>781.0200416020075</v>
      </c>
      <c r="AA1063" s="64">
        <f t="shared" si="153"/>
        <v>1812</v>
      </c>
      <c r="AH1063" s="64" t="e">
        <f t="shared" si="154"/>
        <v>#N/A</v>
      </c>
      <c r="AS1063" s="64" t="e">
        <f t="shared" si="155"/>
        <v>#N/A</v>
      </c>
    </row>
    <row r="1064" spans="1:45" s="64" customFormat="1" ht="36" customHeight="1" x14ac:dyDescent="0.9">
      <c r="A1064" s="64">
        <v>1</v>
      </c>
      <c r="B1064" s="92">
        <f>SUBTOTAL(103,$A$942:A1064)</f>
        <v>118</v>
      </c>
      <c r="C1064" s="91" t="s">
        <v>647</v>
      </c>
      <c r="D1064" s="126">
        <v>1975</v>
      </c>
      <c r="E1064" s="126"/>
      <c r="F1064" s="145" t="s">
        <v>273</v>
      </c>
      <c r="G1064" s="126">
        <v>5</v>
      </c>
      <c r="H1064" s="126">
        <v>1</v>
      </c>
      <c r="I1064" s="117">
        <v>2310.5</v>
      </c>
      <c r="J1064" s="117">
        <v>830.8</v>
      </c>
      <c r="K1064" s="117">
        <v>830.8</v>
      </c>
      <c r="L1064" s="127">
        <v>86</v>
      </c>
      <c r="M1064" s="126" t="s">
        <v>271</v>
      </c>
      <c r="N1064" s="126" t="s">
        <v>275</v>
      </c>
      <c r="O1064" s="124" t="s">
        <v>728</v>
      </c>
      <c r="P1064" s="118">
        <v>6820409.8600000003</v>
      </c>
      <c r="Q1064" s="118">
        <v>0</v>
      </c>
      <c r="R1064" s="118">
        <v>0</v>
      </c>
      <c r="S1064" s="118">
        <f t="shared" si="158"/>
        <v>6820409.8600000003</v>
      </c>
      <c r="T1064" s="118">
        <f t="shared" si="157"/>
        <v>2951.9194373512228</v>
      </c>
      <c r="U1064" s="118">
        <v>6710.3029820385191</v>
      </c>
      <c r="V1064" s="183">
        <f t="shared" si="151"/>
        <v>3758.3835446872963</v>
      </c>
      <c r="W1064" s="183"/>
      <c r="X1064" s="183"/>
      <c r="Y1064" s="64" t="e">
        <f t="shared" si="152"/>
        <v>#N/A</v>
      </c>
      <c r="AA1064" s="64" t="e">
        <f t="shared" si="153"/>
        <v>#N/A</v>
      </c>
      <c r="AH1064" s="64" t="e">
        <f t="shared" si="154"/>
        <v>#N/A</v>
      </c>
      <c r="AS1064" s="64" t="e">
        <f t="shared" si="155"/>
        <v>#N/A</v>
      </c>
    </row>
    <row r="1065" spans="1:45" s="64" customFormat="1" ht="36" customHeight="1" x14ac:dyDescent="0.9">
      <c r="A1065" s="64">
        <v>1</v>
      </c>
      <c r="B1065" s="92">
        <f>SUBTOTAL(103,$A$942:A1065)</f>
        <v>119</v>
      </c>
      <c r="C1065" s="91" t="s">
        <v>651</v>
      </c>
      <c r="D1065" s="126">
        <v>1982</v>
      </c>
      <c r="E1065" s="126"/>
      <c r="F1065" s="145" t="s">
        <v>273</v>
      </c>
      <c r="G1065" s="126">
        <v>9</v>
      </c>
      <c r="H1065" s="126">
        <v>4</v>
      </c>
      <c r="I1065" s="117">
        <v>9363</v>
      </c>
      <c r="J1065" s="117">
        <v>5631</v>
      </c>
      <c r="K1065" s="117">
        <v>5631</v>
      </c>
      <c r="L1065" s="127">
        <v>549</v>
      </c>
      <c r="M1065" s="126" t="s">
        <v>271</v>
      </c>
      <c r="N1065" s="126" t="s">
        <v>275</v>
      </c>
      <c r="O1065" s="124" t="s">
        <v>736</v>
      </c>
      <c r="P1065" s="118">
        <v>9102212.3999999985</v>
      </c>
      <c r="Q1065" s="118">
        <v>0</v>
      </c>
      <c r="R1065" s="118">
        <v>0</v>
      </c>
      <c r="S1065" s="118">
        <f t="shared" si="158"/>
        <v>9102212.3999999985</v>
      </c>
      <c r="T1065" s="118">
        <f t="shared" si="157"/>
        <v>972.14700416533151</v>
      </c>
      <c r="U1065" s="118">
        <f>Y1065</f>
        <v>1016.0843127202819</v>
      </c>
      <c r="V1065" s="183">
        <f t="shared" si="151"/>
        <v>43.937308554950391</v>
      </c>
      <c r="W1065" s="183"/>
      <c r="X1065" s="183"/>
      <c r="Y1065" s="64">
        <f t="shared" si="152"/>
        <v>1016.0843127202819</v>
      </c>
      <c r="AA1065" s="64">
        <f t="shared" si="153"/>
        <v>1821.9</v>
      </c>
      <c r="AH1065" s="64" t="e">
        <f t="shared" si="154"/>
        <v>#N/A</v>
      </c>
      <c r="AS1065" s="64" t="e">
        <f t="shared" si="155"/>
        <v>#N/A</v>
      </c>
    </row>
    <row r="1066" spans="1:45" s="64" customFormat="1" ht="36" customHeight="1" x14ac:dyDescent="0.9">
      <c r="A1066" s="64">
        <v>1</v>
      </c>
      <c r="B1066" s="92">
        <f>SUBTOTAL(103,$A$942:A1066)</f>
        <v>120</v>
      </c>
      <c r="C1066" s="91" t="s">
        <v>655</v>
      </c>
      <c r="D1066" s="126">
        <v>1966</v>
      </c>
      <c r="E1066" s="126"/>
      <c r="F1066" s="145" t="s">
        <v>273</v>
      </c>
      <c r="G1066" s="126">
        <v>5</v>
      </c>
      <c r="H1066" s="126">
        <v>4</v>
      </c>
      <c r="I1066" s="117">
        <v>3420.4</v>
      </c>
      <c r="J1066" s="117">
        <v>2916.6</v>
      </c>
      <c r="K1066" s="117">
        <v>2916.6</v>
      </c>
      <c r="L1066" s="127">
        <v>133</v>
      </c>
      <c r="M1066" s="126" t="s">
        <v>271</v>
      </c>
      <c r="N1066" s="126" t="s">
        <v>275</v>
      </c>
      <c r="O1066" s="124" t="s">
        <v>735</v>
      </c>
      <c r="P1066" s="118">
        <v>4594480</v>
      </c>
      <c r="Q1066" s="118">
        <v>0</v>
      </c>
      <c r="R1066" s="118">
        <v>0</v>
      </c>
      <c r="S1066" s="118">
        <f t="shared" si="158"/>
        <v>4594480</v>
      </c>
      <c r="T1066" s="118">
        <f t="shared" si="157"/>
        <v>1343.2580984680153</v>
      </c>
      <c r="U1066" s="118">
        <f>Y1066</f>
        <v>1343.4639223482634</v>
      </c>
      <c r="V1066" s="183">
        <f t="shared" si="151"/>
        <v>0.20582388024809006</v>
      </c>
      <c r="W1066" s="183"/>
      <c r="X1066" s="183"/>
      <c r="Y1066" s="64">
        <f t="shared" si="152"/>
        <v>1343.4639223482634</v>
      </c>
      <c r="AA1066" s="64">
        <f t="shared" si="153"/>
        <v>880</v>
      </c>
      <c r="AH1066" s="64" t="e">
        <f t="shared" si="154"/>
        <v>#N/A</v>
      </c>
      <c r="AS1066" s="64" t="e">
        <f t="shared" si="155"/>
        <v>#N/A</v>
      </c>
    </row>
    <row r="1067" spans="1:45" s="64" customFormat="1" ht="36" customHeight="1" x14ac:dyDescent="0.9">
      <c r="A1067" s="64">
        <v>1</v>
      </c>
      <c r="B1067" s="92">
        <f>SUBTOTAL(103,$A$942:A1067)</f>
        <v>121</v>
      </c>
      <c r="C1067" s="91" t="s">
        <v>654</v>
      </c>
      <c r="D1067" s="126">
        <v>1972</v>
      </c>
      <c r="E1067" s="126"/>
      <c r="F1067" s="145" t="s">
        <v>273</v>
      </c>
      <c r="G1067" s="126">
        <v>5</v>
      </c>
      <c r="H1067" s="126">
        <v>4</v>
      </c>
      <c r="I1067" s="117">
        <v>3089.3</v>
      </c>
      <c r="J1067" s="117">
        <v>2785.08</v>
      </c>
      <c r="K1067" s="117">
        <v>2785.08</v>
      </c>
      <c r="L1067" s="127">
        <v>208</v>
      </c>
      <c r="M1067" s="126" t="s">
        <v>271</v>
      </c>
      <c r="N1067" s="126" t="s">
        <v>275</v>
      </c>
      <c r="O1067" s="124" t="s">
        <v>731</v>
      </c>
      <c r="P1067" s="118">
        <v>4121700</v>
      </c>
      <c r="Q1067" s="118">
        <v>0</v>
      </c>
      <c r="R1067" s="118">
        <v>0</v>
      </c>
      <c r="S1067" s="118">
        <f t="shared" si="158"/>
        <v>4121700</v>
      </c>
      <c r="T1067" s="118">
        <f t="shared" si="157"/>
        <v>1334.1857378694201</v>
      </c>
      <c r="U1067" s="118">
        <f>Y1067</f>
        <v>1394.4858058459845</v>
      </c>
      <c r="V1067" s="183">
        <f t="shared" si="151"/>
        <v>60.300067976564378</v>
      </c>
      <c r="W1067" s="183"/>
      <c r="X1067" s="183"/>
      <c r="Y1067" s="64">
        <f t="shared" si="152"/>
        <v>1394.4858058459845</v>
      </c>
      <c r="AA1067" s="64">
        <f t="shared" si="153"/>
        <v>825</v>
      </c>
      <c r="AH1067" s="64" t="e">
        <f t="shared" si="154"/>
        <v>#N/A</v>
      </c>
      <c r="AS1067" s="64" t="e">
        <f t="shared" si="155"/>
        <v>#N/A</v>
      </c>
    </row>
    <row r="1068" spans="1:45" s="64" customFormat="1" ht="36" customHeight="1" x14ac:dyDescent="0.9">
      <c r="B1068" s="91" t="s">
        <v>841</v>
      </c>
      <c r="C1068" s="91"/>
      <c r="D1068" s="126" t="s">
        <v>916</v>
      </c>
      <c r="E1068" s="126" t="s">
        <v>916</v>
      </c>
      <c r="F1068" s="126" t="s">
        <v>916</v>
      </c>
      <c r="G1068" s="126" t="s">
        <v>916</v>
      </c>
      <c r="H1068" s="126" t="s">
        <v>916</v>
      </c>
      <c r="I1068" s="117">
        <f>SUM(I1069:I1071)</f>
        <v>10321.200000000001</v>
      </c>
      <c r="J1068" s="117">
        <f>SUM(J1069:J1071)</f>
        <v>6414.0999999999995</v>
      </c>
      <c r="K1068" s="117">
        <f>SUM(K1069:K1071)</f>
        <v>5994.7000000000007</v>
      </c>
      <c r="L1068" s="127">
        <f>SUM(L1069:L1071)</f>
        <v>281</v>
      </c>
      <c r="M1068" s="126" t="s">
        <v>916</v>
      </c>
      <c r="N1068" s="126" t="s">
        <v>916</v>
      </c>
      <c r="O1068" s="124" t="s">
        <v>916</v>
      </c>
      <c r="P1068" s="117">
        <v>9890638.1399999987</v>
      </c>
      <c r="Q1068" s="117">
        <f>SUM(Q1069:Q1071)</f>
        <v>0</v>
      </c>
      <c r="R1068" s="117">
        <f>SUM(R1069:R1071)</f>
        <v>0</v>
      </c>
      <c r="S1068" s="117">
        <f>SUM(S1069:S1071)</f>
        <v>9890638.1399999987</v>
      </c>
      <c r="T1068" s="118">
        <f t="shared" si="157"/>
        <v>958.28374026275992</v>
      </c>
      <c r="U1068" s="118">
        <f>MAX(U1069:U1071)</f>
        <v>2141.8970583843511</v>
      </c>
      <c r="V1068" s="183">
        <f t="shared" si="151"/>
        <v>1183.6133181215912</v>
      </c>
      <c r="W1068" s="183"/>
      <c r="X1068" s="183"/>
      <c r="Y1068" s="64" t="e">
        <f t="shared" si="152"/>
        <v>#N/A</v>
      </c>
      <c r="AA1068" s="64" t="e">
        <f t="shared" si="153"/>
        <v>#N/A</v>
      </c>
      <c r="AH1068" s="64" t="e">
        <f t="shared" si="154"/>
        <v>#N/A</v>
      </c>
      <c r="AS1068" s="64" t="e">
        <f t="shared" si="155"/>
        <v>#N/A</v>
      </c>
    </row>
    <row r="1069" spans="1:45" s="64" customFormat="1" ht="36" customHeight="1" x14ac:dyDescent="0.9">
      <c r="A1069" s="64">
        <v>1</v>
      </c>
      <c r="B1069" s="92">
        <f>SUBTOTAL(103,$A$942:A1069)</f>
        <v>122</v>
      </c>
      <c r="C1069" s="91" t="s">
        <v>660</v>
      </c>
      <c r="D1069" s="126">
        <v>1992</v>
      </c>
      <c r="E1069" s="126"/>
      <c r="F1069" s="145" t="s">
        <v>319</v>
      </c>
      <c r="G1069" s="126">
        <v>5</v>
      </c>
      <c r="H1069" s="126">
        <v>3</v>
      </c>
      <c r="I1069" s="117">
        <v>5482.2</v>
      </c>
      <c r="J1069" s="117">
        <v>3303.8</v>
      </c>
      <c r="K1069" s="117">
        <v>3096.3</v>
      </c>
      <c r="L1069" s="127">
        <v>147</v>
      </c>
      <c r="M1069" s="126" t="s">
        <v>271</v>
      </c>
      <c r="N1069" s="126" t="s">
        <v>275</v>
      </c>
      <c r="O1069" s="124" t="s">
        <v>733</v>
      </c>
      <c r="P1069" s="118">
        <v>4229613.5999999996</v>
      </c>
      <c r="Q1069" s="118">
        <v>0</v>
      </c>
      <c r="R1069" s="118">
        <v>0</v>
      </c>
      <c r="S1069" s="118">
        <f>P1069-Q1069-R1069</f>
        <v>4229613.5999999996</v>
      </c>
      <c r="T1069" s="118">
        <f t="shared" si="157"/>
        <v>771.5175659406807</v>
      </c>
      <c r="U1069" s="118">
        <f>Y1069</f>
        <v>806.38719492174675</v>
      </c>
      <c r="V1069" s="183">
        <f t="shared" si="151"/>
        <v>34.869628981066057</v>
      </c>
      <c r="W1069" s="183"/>
      <c r="X1069" s="183"/>
      <c r="Y1069" s="64">
        <f t="shared" si="152"/>
        <v>806.38719492174675</v>
      </c>
      <c r="AA1069" s="64">
        <f t="shared" si="153"/>
        <v>846.6</v>
      </c>
      <c r="AH1069" s="64" t="e">
        <f t="shared" si="154"/>
        <v>#N/A</v>
      </c>
      <c r="AS1069" s="64" t="e">
        <f t="shared" si="155"/>
        <v>#N/A</v>
      </c>
    </row>
    <row r="1070" spans="1:45" s="64" customFormat="1" ht="36" customHeight="1" x14ac:dyDescent="0.9">
      <c r="A1070" s="64">
        <v>1</v>
      </c>
      <c r="B1070" s="92">
        <f>SUBTOTAL(103,$A$942:A1070)</f>
        <v>123</v>
      </c>
      <c r="C1070" s="91" t="s">
        <v>1122</v>
      </c>
      <c r="D1070" s="126">
        <v>1983</v>
      </c>
      <c r="E1070" s="126"/>
      <c r="F1070" s="145" t="s">
        <v>273</v>
      </c>
      <c r="G1070" s="126">
        <v>5</v>
      </c>
      <c r="H1070" s="126">
        <v>4</v>
      </c>
      <c r="I1070" s="117">
        <v>4169.3</v>
      </c>
      <c r="J1070" s="117">
        <v>2760.1</v>
      </c>
      <c r="K1070" s="117">
        <v>2597.9</v>
      </c>
      <c r="L1070" s="127">
        <v>121</v>
      </c>
      <c r="M1070" s="126" t="s">
        <v>271</v>
      </c>
      <c r="N1070" s="126" t="s">
        <v>275</v>
      </c>
      <c r="O1070" s="124" t="s">
        <v>1389</v>
      </c>
      <c r="P1070" s="118">
        <v>4226815.84</v>
      </c>
      <c r="Q1070" s="118">
        <v>0</v>
      </c>
      <c r="R1070" s="118">
        <v>0</v>
      </c>
      <c r="S1070" s="118">
        <f>P1070-Q1070-R1070</f>
        <v>4226815.84</v>
      </c>
      <c r="T1070" s="118">
        <f t="shared" si="157"/>
        <v>1013.795083107476</v>
      </c>
      <c r="U1070" s="118">
        <f>Y1070</f>
        <v>1073.8424483726285</v>
      </c>
      <c r="V1070" s="183">
        <f t="shared" si="151"/>
        <v>60.047365265152507</v>
      </c>
      <c r="W1070" s="183"/>
      <c r="X1070" s="183"/>
      <c r="Y1070" s="64">
        <f t="shared" si="152"/>
        <v>1073.8424483726285</v>
      </c>
      <c r="AA1070" s="64">
        <f t="shared" si="153"/>
        <v>857.4</v>
      </c>
      <c r="AH1070" s="64" t="e">
        <f t="shared" si="154"/>
        <v>#N/A</v>
      </c>
      <c r="AS1070" s="64" t="e">
        <f t="shared" si="155"/>
        <v>#N/A</v>
      </c>
    </row>
    <row r="1071" spans="1:45" s="64" customFormat="1" ht="36" customHeight="1" x14ac:dyDescent="0.9">
      <c r="A1071" s="64">
        <v>1</v>
      </c>
      <c r="B1071" s="92">
        <f>SUBTOTAL(103,$A$942:A1071)</f>
        <v>124</v>
      </c>
      <c r="C1071" s="91" t="s">
        <v>658</v>
      </c>
      <c r="D1071" s="126">
        <v>1966</v>
      </c>
      <c r="E1071" s="126"/>
      <c r="F1071" s="145" t="s">
        <v>273</v>
      </c>
      <c r="G1071" s="126">
        <v>2</v>
      </c>
      <c r="H1071" s="126">
        <v>2</v>
      </c>
      <c r="I1071" s="117">
        <v>669.7</v>
      </c>
      <c r="J1071" s="117">
        <v>350.2</v>
      </c>
      <c r="K1071" s="117">
        <v>300.5</v>
      </c>
      <c r="L1071" s="127">
        <v>13</v>
      </c>
      <c r="M1071" s="126" t="s">
        <v>271</v>
      </c>
      <c r="N1071" s="126" t="s">
        <v>275</v>
      </c>
      <c r="O1071" s="124" t="s">
        <v>733</v>
      </c>
      <c r="P1071" s="118">
        <v>1434208.7</v>
      </c>
      <c r="Q1071" s="118">
        <v>0</v>
      </c>
      <c r="R1071" s="118">
        <v>0</v>
      </c>
      <c r="S1071" s="118">
        <f>P1071-Q1071-R1071</f>
        <v>1434208.7</v>
      </c>
      <c r="T1071" s="118">
        <f t="shared" si="157"/>
        <v>2141.5689114528891</v>
      </c>
      <c r="U1071" s="118">
        <f>Y1071</f>
        <v>2141.8970583843511</v>
      </c>
      <c r="V1071" s="183">
        <f t="shared" si="151"/>
        <v>0.32814693146201535</v>
      </c>
      <c r="W1071" s="183"/>
      <c r="X1071" s="183"/>
      <c r="Y1071" s="64">
        <f t="shared" si="152"/>
        <v>2141.8970583843511</v>
      </c>
      <c r="AA1071" s="64">
        <f t="shared" si="153"/>
        <v>274.7</v>
      </c>
      <c r="AH1071" s="64" t="e">
        <f t="shared" si="154"/>
        <v>#N/A</v>
      </c>
      <c r="AS1071" s="64" t="e">
        <f t="shared" si="155"/>
        <v>#N/A</v>
      </c>
    </row>
    <row r="1072" spans="1:45" s="64" customFormat="1" ht="36" customHeight="1" x14ac:dyDescent="0.9">
      <c r="B1072" s="91" t="s">
        <v>842</v>
      </c>
      <c r="C1072" s="91"/>
      <c r="D1072" s="126" t="s">
        <v>916</v>
      </c>
      <c r="E1072" s="126" t="s">
        <v>916</v>
      </c>
      <c r="F1072" s="126" t="s">
        <v>916</v>
      </c>
      <c r="G1072" s="126" t="s">
        <v>916</v>
      </c>
      <c r="H1072" s="126" t="s">
        <v>916</v>
      </c>
      <c r="I1072" s="117">
        <f>SUM(I1073:I1074)</f>
        <v>4408.6000000000004</v>
      </c>
      <c r="J1072" s="117">
        <f>SUM(J1073:J1074)</f>
        <v>4188.5</v>
      </c>
      <c r="K1072" s="117">
        <f>SUM(K1073:K1074)</f>
        <v>1566.9</v>
      </c>
      <c r="L1072" s="127">
        <f>SUM(L1073:L1074)</f>
        <v>120</v>
      </c>
      <c r="M1072" s="126" t="s">
        <v>916</v>
      </c>
      <c r="N1072" s="126" t="s">
        <v>916</v>
      </c>
      <c r="O1072" s="124" t="s">
        <v>916</v>
      </c>
      <c r="P1072" s="118">
        <v>11422752.699999999</v>
      </c>
      <c r="Q1072" s="118">
        <f>Q1073+Q1074</f>
        <v>0</v>
      </c>
      <c r="R1072" s="118">
        <f>R1073+R1074</f>
        <v>0</v>
      </c>
      <c r="S1072" s="118">
        <f>S1073+S1074</f>
        <v>11422752.699999999</v>
      </c>
      <c r="T1072" s="118">
        <f t="shared" si="157"/>
        <v>2591.0159007394632</v>
      </c>
      <c r="U1072" s="118">
        <f>MAX(U1073:U1074)</f>
        <v>10453.869946984569</v>
      </c>
      <c r="V1072" s="183">
        <f t="shared" si="151"/>
        <v>7862.8540462451056</v>
      </c>
      <c r="W1072" s="183"/>
      <c r="X1072" s="183"/>
      <c r="Y1072" s="64" t="e">
        <f t="shared" si="152"/>
        <v>#N/A</v>
      </c>
      <c r="AA1072" s="64" t="e">
        <f t="shared" si="153"/>
        <v>#N/A</v>
      </c>
      <c r="AH1072" s="64" t="e">
        <f t="shared" si="154"/>
        <v>#N/A</v>
      </c>
      <c r="AS1072" s="64" t="e">
        <f t="shared" si="155"/>
        <v>#N/A</v>
      </c>
    </row>
    <row r="1073" spans="1:194" s="64" customFormat="1" ht="36" customHeight="1" x14ac:dyDescent="0.9">
      <c r="A1073" s="64">
        <v>1</v>
      </c>
      <c r="B1073" s="92">
        <f>SUBTOTAL(103,$A$942:A1073)</f>
        <v>125</v>
      </c>
      <c r="C1073" s="91" t="s">
        <v>664</v>
      </c>
      <c r="D1073" s="126">
        <v>1882</v>
      </c>
      <c r="E1073" s="126"/>
      <c r="F1073" s="145" t="s">
        <v>273</v>
      </c>
      <c r="G1073" s="126">
        <v>3</v>
      </c>
      <c r="H1073" s="126">
        <v>3</v>
      </c>
      <c r="I1073" s="117">
        <v>3501.8</v>
      </c>
      <c r="J1073" s="117">
        <v>3352.4</v>
      </c>
      <c r="K1073" s="117">
        <v>1028.9000000000001</v>
      </c>
      <c r="L1073" s="127">
        <v>87</v>
      </c>
      <c r="M1073" s="126" t="s">
        <v>271</v>
      </c>
      <c r="N1073" s="126" t="s">
        <v>275</v>
      </c>
      <c r="O1073" s="124" t="s">
        <v>734</v>
      </c>
      <c r="P1073" s="118">
        <v>4240119.51</v>
      </c>
      <c r="Q1073" s="118">
        <v>0</v>
      </c>
      <c r="R1073" s="118">
        <v>0</v>
      </c>
      <c r="S1073" s="118">
        <f>P1073-Q1073-R1073</f>
        <v>4240119.51</v>
      </c>
      <c r="T1073" s="118">
        <f t="shared" si="157"/>
        <v>1210.839999428865</v>
      </c>
      <c r="U1073" s="118">
        <v>2753.19</v>
      </c>
      <c r="V1073" s="183">
        <f t="shared" si="151"/>
        <v>1542.3500005711351</v>
      </c>
      <c r="W1073" s="183"/>
      <c r="X1073" s="183"/>
      <c r="Y1073" s="64" t="e">
        <f t="shared" si="152"/>
        <v>#N/A</v>
      </c>
      <c r="AA1073" s="64" t="e">
        <f t="shared" si="153"/>
        <v>#N/A</v>
      </c>
      <c r="AH1073" s="64" t="e">
        <f t="shared" si="154"/>
        <v>#N/A</v>
      </c>
      <c r="AS1073" s="64" t="e">
        <f t="shared" si="155"/>
        <v>#N/A</v>
      </c>
    </row>
    <row r="1074" spans="1:194" s="64" customFormat="1" ht="36" customHeight="1" x14ac:dyDescent="0.9">
      <c r="A1074" s="64">
        <v>1</v>
      </c>
      <c r="B1074" s="92">
        <f>SUBTOTAL(103,$A$942:A1074)</f>
        <v>126</v>
      </c>
      <c r="C1074" s="91" t="s">
        <v>668</v>
      </c>
      <c r="D1074" s="126">
        <v>1952</v>
      </c>
      <c r="E1074" s="126"/>
      <c r="F1074" s="145" t="s">
        <v>273</v>
      </c>
      <c r="G1074" s="126">
        <v>2</v>
      </c>
      <c r="H1074" s="126">
        <v>2</v>
      </c>
      <c r="I1074" s="117">
        <v>906.8</v>
      </c>
      <c r="J1074" s="117">
        <v>836.1</v>
      </c>
      <c r="K1074" s="117">
        <v>538</v>
      </c>
      <c r="L1074" s="127">
        <v>33</v>
      </c>
      <c r="M1074" s="126" t="s">
        <v>271</v>
      </c>
      <c r="N1074" s="126" t="s">
        <v>275</v>
      </c>
      <c r="O1074" s="124" t="s">
        <v>734</v>
      </c>
      <c r="P1074" s="118">
        <v>7182633.1900000004</v>
      </c>
      <c r="Q1074" s="118">
        <v>0</v>
      </c>
      <c r="R1074" s="118">
        <v>0</v>
      </c>
      <c r="S1074" s="118">
        <f>P1074-Q1074-R1074</f>
        <v>7182633.1900000004</v>
      </c>
      <c r="T1074" s="118">
        <f t="shared" si="157"/>
        <v>7920.8570688134105</v>
      </c>
      <c r="U1074" s="118">
        <f>Y1074+AG1074</f>
        <v>10453.869946984569</v>
      </c>
      <c r="V1074" s="183">
        <f t="shared" si="151"/>
        <v>2533.0128781711583</v>
      </c>
      <c r="W1074" s="183"/>
      <c r="X1074" s="183"/>
      <c r="Y1074" s="64">
        <f t="shared" si="152"/>
        <v>4658.7922959858852</v>
      </c>
      <c r="AA1074" s="64">
        <f t="shared" si="153"/>
        <v>809.03</v>
      </c>
      <c r="AG1074" s="64">
        <f>AH1074*6191.24/J1074</f>
        <v>5795.0776509986836</v>
      </c>
      <c r="AH1074" s="64">
        <f t="shared" si="154"/>
        <v>782.6</v>
      </c>
      <c r="AS1074" s="64" t="e">
        <f t="shared" si="155"/>
        <v>#N/A</v>
      </c>
    </row>
    <row r="1075" spans="1:194" s="64" customFormat="1" ht="36" customHeight="1" x14ac:dyDescent="0.9">
      <c r="B1075" s="91" t="s">
        <v>843</v>
      </c>
      <c r="C1075" s="91"/>
      <c r="D1075" s="126" t="s">
        <v>916</v>
      </c>
      <c r="E1075" s="126" t="s">
        <v>916</v>
      </c>
      <c r="F1075" s="126" t="s">
        <v>916</v>
      </c>
      <c r="G1075" s="126" t="s">
        <v>916</v>
      </c>
      <c r="H1075" s="126" t="s">
        <v>916</v>
      </c>
      <c r="I1075" s="117">
        <f>SUM(I1076:I1077)</f>
        <v>6442.65</v>
      </c>
      <c r="J1075" s="117">
        <f>SUM(J1076:J1077)</f>
        <v>4755.2999999999993</v>
      </c>
      <c r="K1075" s="117">
        <f>SUM(K1076:K1077)</f>
        <v>4755.2999999999993</v>
      </c>
      <c r="L1075" s="127">
        <f>SUM(L1076:L1077)</f>
        <v>188</v>
      </c>
      <c r="M1075" s="126" t="s">
        <v>916</v>
      </c>
      <c r="N1075" s="126" t="s">
        <v>916</v>
      </c>
      <c r="O1075" s="124" t="s">
        <v>916</v>
      </c>
      <c r="P1075" s="117">
        <v>8756823</v>
      </c>
      <c r="Q1075" s="117">
        <f>SUM(Q1076:Q1077)</f>
        <v>0</v>
      </c>
      <c r="R1075" s="117">
        <f>SUM(R1076:R1077)</f>
        <v>0</v>
      </c>
      <c r="S1075" s="117">
        <f>SUM(S1076:S1077)</f>
        <v>8756823</v>
      </c>
      <c r="T1075" s="118">
        <f t="shared" si="157"/>
        <v>1359.1958278037764</v>
      </c>
      <c r="U1075" s="118">
        <f>MAX(U1076:U1077)</f>
        <v>1701.5774148906728</v>
      </c>
      <c r="V1075" s="183">
        <f t="shared" si="151"/>
        <v>342.38158708689639</v>
      </c>
      <c r="W1075" s="183"/>
      <c r="X1075" s="183"/>
      <c r="Y1075" s="64" t="e">
        <f t="shared" si="152"/>
        <v>#N/A</v>
      </c>
      <c r="AA1075" s="64" t="e">
        <f t="shared" si="153"/>
        <v>#N/A</v>
      </c>
      <c r="AH1075" s="64" t="e">
        <f t="shared" si="154"/>
        <v>#N/A</v>
      </c>
      <c r="AS1075" s="64" t="e">
        <f t="shared" si="155"/>
        <v>#N/A</v>
      </c>
    </row>
    <row r="1076" spans="1:194" s="64" customFormat="1" ht="36" customHeight="1" x14ac:dyDescent="0.9">
      <c r="A1076" s="64">
        <v>1</v>
      </c>
      <c r="B1076" s="92">
        <f>SUBTOTAL(103,$A$942:A1076)</f>
        <v>127</v>
      </c>
      <c r="C1076" s="91" t="s">
        <v>673</v>
      </c>
      <c r="D1076" s="126">
        <v>1986</v>
      </c>
      <c r="E1076" s="126"/>
      <c r="F1076" s="145" t="s">
        <v>273</v>
      </c>
      <c r="G1076" s="126">
        <v>5</v>
      </c>
      <c r="H1076" s="126">
        <v>4</v>
      </c>
      <c r="I1076" s="117">
        <v>3732.9</v>
      </c>
      <c r="J1076" s="117">
        <v>2826.7</v>
      </c>
      <c r="K1076" s="117">
        <v>2826.7</v>
      </c>
      <c r="L1076" s="127">
        <v>115</v>
      </c>
      <c r="M1076" s="126" t="s">
        <v>271</v>
      </c>
      <c r="N1076" s="126" t="s">
        <v>275</v>
      </c>
      <c r="O1076" s="124" t="s">
        <v>737</v>
      </c>
      <c r="P1076" s="118">
        <v>4146680</v>
      </c>
      <c r="Q1076" s="118">
        <v>0</v>
      </c>
      <c r="R1076" s="118">
        <v>0</v>
      </c>
      <c r="S1076" s="118">
        <f>P1076-Q1076-R1076</f>
        <v>4146680</v>
      </c>
      <c r="T1076" s="118">
        <f t="shared" si="157"/>
        <v>1110.8467947172439</v>
      </c>
      <c r="U1076" s="118">
        <f>Y1076</f>
        <v>1161.0528007715182</v>
      </c>
      <c r="V1076" s="183">
        <f t="shared" si="151"/>
        <v>50.206006054274212</v>
      </c>
      <c r="W1076" s="183"/>
      <c r="X1076" s="183"/>
      <c r="Y1076" s="64">
        <f t="shared" si="152"/>
        <v>1161.0528007715182</v>
      </c>
      <c r="AA1076" s="64">
        <f t="shared" si="153"/>
        <v>830</v>
      </c>
      <c r="AH1076" s="64" t="e">
        <f t="shared" si="154"/>
        <v>#N/A</v>
      </c>
      <c r="AS1076" s="64" t="e">
        <f t="shared" si="155"/>
        <v>#N/A</v>
      </c>
    </row>
    <row r="1077" spans="1:194" s="64" customFormat="1" ht="36" customHeight="1" x14ac:dyDescent="0.9">
      <c r="A1077" s="64">
        <v>1</v>
      </c>
      <c r="B1077" s="92">
        <f>SUBTOTAL(103,$A$942:A1077)</f>
        <v>128</v>
      </c>
      <c r="C1077" s="91" t="s">
        <v>676</v>
      </c>
      <c r="D1077" s="126">
        <v>1964</v>
      </c>
      <c r="E1077" s="126"/>
      <c r="F1077" s="145" t="s">
        <v>273</v>
      </c>
      <c r="G1077" s="126">
        <v>4</v>
      </c>
      <c r="H1077" s="126">
        <v>3</v>
      </c>
      <c r="I1077" s="117">
        <v>2709.75</v>
      </c>
      <c r="J1077" s="117">
        <v>1928.6</v>
      </c>
      <c r="K1077" s="117">
        <v>1928.6</v>
      </c>
      <c r="L1077" s="127">
        <v>73</v>
      </c>
      <c r="M1077" s="126" t="s">
        <v>271</v>
      </c>
      <c r="N1077" s="126" t="s">
        <v>275</v>
      </c>
      <c r="O1077" s="124" t="s">
        <v>1019</v>
      </c>
      <c r="P1077" s="118">
        <v>4610143</v>
      </c>
      <c r="Q1077" s="118">
        <v>0</v>
      </c>
      <c r="R1077" s="118">
        <v>0</v>
      </c>
      <c r="S1077" s="118">
        <f>P1077-Q1077-R1077</f>
        <v>4610143</v>
      </c>
      <c r="T1077" s="118">
        <f t="shared" si="157"/>
        <v>1701.3167266352984</v>
      </c>
      <c r="U1077" s="118">
        <f>Y1077</f>
        <v>1701.5774148906728</v>
      </c>
      <c r="V1077" s="183">
        <f t="shared" si="151"/>
        <v>0.26068825537436169</v>
      </c>
      <c r="W1077" s="183"/>
      <c r="X1077" s="183"/>
      <c r="Y1077" s="64">
        <f t="shared" si="152"/>
        <v>1701.5774148906728</v>
      </c>
      <c r="AA1077" s="64">
        <f t="shared" si="153"/>
        <v>883</v>
      </c>
      <c r="AH1077" s="64" t="e">
        <f t="shared" si="154"/>
        <v>#N/A</v>
      </c>
      <c r="AS1077" s="64" t="e">
        <f t="shared" si="155"/>
        <v>#N/A</v>
      </c>
    </row>
    <row r="1078" spans="1:194" s="64" customFormat="1" ht="36" customHeight="1" x14ac:dyDescent="0.9">
      <c r="B1078" s="91" t="s">
        <v>844</v>
      </c>
      <c r="C1078" s="172"/>
      <c r="D1078" s="126" t="s">
        <v>916</v>
      </c>
      <c r="E1078" s="126" t="s">
        <v>916</v>
      </c>
      <c r="F1078" s="126" t="s">
        <v>916</v>
      </c>
      <c r="G1078" s="126" t="s">
        <v>916</v>
      </c>
      <c r="H1078" s="126" t="s">
        <v>916</v>
      </c>
      <c r="I1078" s="117">
        <f>I1079</f>
        <v>1801.1</v>
      </c>
      <c r="J1078" s="117">
        <f>J1079</f>
        <v>277.10000000000002</v>
      </c>
      <c r="K1078" s="117">
        <f>K1079</f>
        <v>277.10000000000002</v>
      </c>
      <c r="L1078" s="127">
        <f>L1079</f>
        <v>15</v>
      </c>
      <c r="M1078" s="126" t="s">
        <v>916</v>
      </c>
      <c r="N1078" s="126" t="s">
        <v>916</v>
      </c>
      <c r="O1078" s="124" t="s">
        <v>916</v>
      </c>
      <c r="P1078" s="118">
        <v>4369866.08</v>
      </c>
      <c r="Q1078" s="118">
        <f>Q1079</f>
        <v>0</v>
      </c>
      <c r="R1078" s="118">
        <f>R1079</f>
        <v>0</v>
      </c>
      <c r="S1078" s="118">
        <f>S1079</f>
        <v>4369866.08</v>
      </c>
      <c r="T1078" s="118">
        <f t="shared" si="157"/>
        <v>2426.2206873577261</v>
      </c>
      <c r="U1078" s="118">
        <f>U1079</f>
        <v>3487.7715840319806</v>
      </c>
      <c r="V1078" s="183">
        <f t="shared" si="151"/>
        <v>1061.5508966742545</v>
      </c>
      <c r="W1078" s="183"/>
      <c r="X1078" s="183"/>
      <c r="Y1078" s="64" t="e">
        <f t="shared" si="152"/>
        <v>#N/A</v>
      </c>
      <c r="AA1078" s="64" t="e">
        <f t="shared" si="153"/>
        <v>#N/A</v>
      </c>
      <c r="AH1078" s="64" t="e">
        <f t="shared" si="154"/>
        <v>#N/A</v>
      </c>
      <c r="AS1078" s="64" t="e">
        <f t="shared" si="155"/>
        <v>#N/A</v>
      </c>
    </row>
    <row r="1079" spans="1:194" s="20" customFormat="1" ht="36" customHeight="1" x14ac:dyDescent="0.9">
      <c r="A1079" s="64">
        <v>1</v>
      </c>
      <c r="B1079" s="92">
        <f>SUBTOTAL(103,$A$942:A1079)</f>
        <v>129</v>
      </c>
      <c r="C1079" s="116" t="s">
        <v>697</v>
      </c>
      <c r="D1079" s="126">
        <v>1968</v>
      </c>
      <c r="E1079" s="126"/>
      <c r="F1079" s="147" t="s">
        <v>273</v>
      </c>
      <c r="G1079" s="126">
        <v>2</v>
      </c>
      <c r="H1079" s="126">
        <v>1</v>
      </c>
      <c r="I1079" s="117">
        <v>1801.1</v>
      </c>
      <c r="J1079" s="117">
        <v>277.10000000000002</v>
      </c>
      <c r="K1079" s="117">
        <v>277.10000000000002</v>
      </c>
      <c r="L1079" s="128">
        <v>15</v>
      </c>
      <c r="M1079" s="126" t="s">
        <v>271</v>
      </c>
      <c r="N1079" s="126" t="s">
        <v>275</v>
      </c>
      <c r="O1079" s="126" t="s">
        <v>744</v>
      </c>
      <c r="P1079" s="117">
        <v>4369866.08</v>
      </c>
      <c r="Q1079" s="117">
        <v>0</v>
      </c>
      <c r="R1079" s="117">
        <v>0</v>
      </c>
      <c r="S1079" s="117">
        <f>P1079-Q1079-R1079</f>
        <v>4369866.08</v>
      </c>
      <c r="T1079" s="118">
        <f t="shared" si="157"/>
        <v>2426.2206873577261</v>
      </c>
      <c r="U1079" s="118">
        <f>Y1079</f>
        <v>3487.7715840319806</v>
      </c>
      <c r="V1079" s="183">
        <f t="shared" si="151"/>
        <v>1061.5508966742545</v>
      </c>
      <c r="W1079" s="183"/>
      <c r="X1079" s="183"/>
      <c r="Y1079" s="64">
        <f t="shared" si="152"/>
        <v>3487.7715840319806</v>
      </c>
      <c r="AA1079" s="64">
        <f t="shared" si="153"/>
        <v>1203</v>
      </c>
      <c r="AH1079" s="64" t="e">
        <f t="shared" si="154"/>
        <v>#N/A</v>
      </c>
      <c r="AS1079" s="64" t="e">
        <f t="shared" si="155"/>
        <v>#N/A</v>
      </c>
      <c r="DT1079" s="119"/>
      <c r="DU1079" s="119"/>
      <c r="DV1079" s="119"/>
      <c r="EJ1079" s="120"/>
      <c r="ES1079" s="121"/>
      <c r="FV1079" s="122"/>
      <c r="GL1079" s="123"/>
    </row>
    <row r="1080" spans="1:194" s="64" customFormat="1" ht="36" customHeight="1" x14ac:dyDescent="0.9">
      <c r="B1080" s="91" t="s">
        <v>845</v>
      </c>
      <c r="C1080" s="91"/>
      <c r="D1080" s="126" t="s">
        <v>916</v>
      </c>
      <c r="E1080" s="126" t="s">
        <v>916</v>
      </c>
      <c r="F1080" s="126" t="s">
        <v>916</v>
      </c>
      <c r="G1080" s="126" t="s">
        <v>916</v>
      </c>
      <c r="H1080" s="126" t="s">
        <v>916</v>
      </c>
      <c r="I1080" s="117">
        <f>I1081</f>
        <v>1070.8</v>
      </c>
      <c r="J1080" s="117">
        <f>J1081</f>
        <v>942</v>
      </c>
      <c r="K1080" s="117">
        <f>K1081</f>
        <v>942</v>
      </c>
      <c r="L1080" s="127">
        <f>L1081</f>
        <v>42</v>
      </c>
      <c r="M1080" s="126" t="s">
        <v>916</v>
      </c>
      <c r="N1080" s="126" t="s">
        <v>916</v>
      </c>
      <c r="O1080" s="124" t="s">
        <v>916</v>
      </c>
      <c r="P1080" s="118">
        <v>2936950.21</v>
      </c>
      <c r="Q1080" s="118">
        <f>Q1081</f>
        <v>0</v>
      </c>
      <c r="R1080" s="118">
        <f>R1081</f>
        <v>0</v>
      </c>
      <c r="S1080" s="118">
        <f>S1081</f>
        <v>2936950.21</v>
      </c>
      <c r="T1080" s="118">
        <f t="shared" si="157"/>
        <v>2742.7626167351514</v>
      </c>
      <c r="U1080" s="118">
        <f>U1081</f>
        <v>5172.511549893843</v>
      </c>
      <c r="V1080" s="183">
        <f t="shared" si="151"/>
        <v>2429.7489331586917</v>
      </c>
      <c r="W1080" s="183"/>
      <c r="X1080" s="183"/>
      <c r="Y1080" s="64" t="e">
        <f t="shared" si="152"/>
        <v>#N/A</v>
      </c>
      <c r="AA1080" s="64" t="e">
        <f t="shared" si="153"/>
        <v>#N/A</v>
      </c>
      <c r="AH1080" s="64" t="e">
        <f t="shared" si="154"/>
        <v>#N/A</v>
      </c>
      <c r="AS1080" s="64" t="e">
        <f t="shared" si="155"/>
        <v>#N/A</v>
      </c>
    </row>
    <row r="1081" spans="1:194" s="20" customFormat="1" ht="36" customHeight="1" x14ac:dyDescent="0.9">
      <c r="A1081" s="64">
        <v>1</v>
      </c>
      <c r="B1081" s="92">
        <f>SUBTOTAL(103,$A$942:A1081)</f>
        <v>130</v>
      </c>
      <c r="C1081" s="116" t="s">
        <v>712</v>
      </c>
      <c r="D1081" s="126">
        <v>1979</v>
      </c>
      <c r="E1081" s="126"/>
      <c r="F1081" s="147" t="s">
        <v>273</v>
      </c>
      <c r="G1081" s="126">
        <v>2</v>
      </c>
      <c r="H1081" s="126">
        <v>3</v>
      </c>
      <c r="I1081" s="117">
        <v>1070.8</v>
      </c>
      <c r="J1081" s="117">
        <v>942</v>
      </c>
      <c r="K1081" s="117">
        <v>942</v>
      </c>
      <c r="L1081" s="128">
        <v>42</v>
      </c>
      <c r="M1081" s="126" t="s">
        <v>271</v>
      </c>
      <c r="N1081" s="126" t="s">
        <v>349</v>
      </c>
      <c r="O1081" s="126" t="s">
        <v>748</v>
      </c>
      <c r="P1081" s="117">
        <v>2936950.21</v>
      </c>
      <c r="Q1081" s="117">
        <v>0</v>
      </c>
      <c r="R1081" s="117">
        <v>0</v>
      </c>
      <c r="S1081" s="117">
        <f>P1081-Q1081-R1081</f>
        <v>2936950.21</v>
      </c>
      <c r="T1081" s="118">
        <f t="shared" si="157"/>
        <v>2742.7626167351514</v>
      </c>
      <c r="U1081" s="118">
        <f>AG1081</f>
        <v>5172.511549893843</v>
      </c>
      <c r="V1081" s="183">
        <f t="shared" si="151"/>
        <v>2429.7489331586917</v>
      </c>
      <c r="W1081" s="183"/>
      <c r="X1081" s="183"/>
      <c r="Y1081" s="64" t="e">
        <f t="shared" si="152"/>
        <v>#N/A</v>
      </c>
      <c r="AA1081" s="64" t="e">
        <f t="shared" si="153"/>
        <v>#N/A</v>
      </c>
      <c r="AG1081" s="64">
        <f>AH1081*6191.24/J1081</f>
        <v>5172.511549893843</v>
      </c>
      <c r="AH1081" s="64">
        <f t="shared" si="154"/>
        <v>787</v>
      </c>
      <c r="AS1081" s="64" t="e">
        <f t="shared" si="155"/>
        <v>#N/A</v>
      </c>
      <c r="DT1081" s="119"/>
      <c r="DU1081" s="119"/>
      <c r="DV1081" s="119"/>
      <c r="EJ1081" s="120"/>
      <c r="ES1081" s="121"/>
      <c r="FV1081" s="122"/>
      <c r="GL1081" s="123"/>
    </row>
    <row r="1082" spans="1:194" s="64" customFormat="1" ht="36" customHeight="1" x14ac:dyDescent="0.9">
      <c r="B1082" s="91" t="s">
        <v>846</v>
      </c>
      <c r="C1082" s="91"/>
      <c r="D1082" s="126" t="s">
        <v>916</v>
      </c>
      <c r="E1082" s="126" t="s">
        <v>916</v>
      </c>
      <c r="F1082" s="126" t="s">
        <v>916</v>
      </c>
      <c r="G1082" s="126" t="s">
        <v>916</v>
      </c>
      <c r="H1082" s="126" t="s">
        <v>916</v>
      </c>
      <c r="I1082" s="117">
        <f>I1083+I1084</f>
        <v>1547.1</v>
      </c>
      <c r="J1082" s="117">
        <f>J1083+J1084</f>
        <v>1426.8</v>
      </c>
      <c r="K1082" s="117">
        <f>K1083+K1084</f>
        <v>275.39999999999998</v>
      </c>
      <c r="L1082" s="127">
        <f>L1083+L1084</f>
        <v>72</v>
      </c>
      <c r="M1082" s="126" t="s">
        <v>916</v>
      </c>
      <c r="N1082" s="126" t="s">
        <v>916</v>
      </c>
      <c r="O1082" s="124" t="s">
        <v>916</v>
      </c>
      <c r="P1082" s="118">
        <v>2773728.46</v>
      </c>
      <c r="Q1082" s="118">
        <f>Q1083+Q1084</f>
        <v>0</v>
      </c>
      <c r="R1082" s="118">
        <f>R1083+R1084</f>
        <v>0</v>
      </c>
      <c r="S1082" s="118">
        <f>S1083+S1084</f>
        <v>2773728.46</v>
      </c>
      <c r="T1082" s="118">
        <f t="shared" si="157"/>
        <v>1792.8566091396808</v>
      </c>
      <c r="U1082" s="118">
        <f>MAX(U1083:U1084)</f>
        <v>3030.2073553871742</v>
      </c>
      <c r="V1082" s="183">
        <f t="shared" si="151"/>
        <v>1237.3507462474934</v>
      </c>
      <c r="W1082" s="183"/>
      <c r="X1082" s="183"/>
      <c r="Y1082" s="64" t="e">
        <f t="shared" si="152"/>
        <v>#N/A</v>
      </c>
      <c r="AA1082" s="64" t="e">
        <f t="shared" si="153"/>
        <v>#N/A</v>
      </c>
      <c r="AH1082" s="64" t="e">
        <f t="shared" si="154"/>
        <v>#N/A</v>
      </c>
      <c r="AS1082" s="64" t="e">
        <f t="shared" si="155"/>
        <v>#N/A</v>
      </c>
    </row>
    <row r="1083" spans="1:194" s="20" customFormat="1" ht="36" customHeight="1" x14ac:dyDescent="0.9">
      <c r="A1083" s="64">
        <v>1</v>
      </c>
      <c r="B1083" s="92">
        <f>SUBTOTAL(103,$A$942:A1083)</f>
        <v>131</v>
      </c>
      <c r="C1083" s="116" t="s">
        <v>704</v>
      </c>
      <c r="D1083" s="126">
        <v>1971</v>
      </c>
      <c r="E1083" s="126"/>
      <c r="F1083" s="147" t="s">
        <v>273</v>
      </c>
      <c r="G1083" s="126">
        <v>3</v>
      </c>
      <c r="H1083" s="126">
        <v>2</v>
      </c>
      <c r="I1083" s="117">
        <v>1082.2</v>
      </c>
      <c r="J1083" s="117">
        <v>1018.1</v>
      </c>
      <c r="K1083" s="117">
        <v>114.5</v>
      </c>
      <c r="L1083" s="128">
        <v>44</v>
      </c>
      <c r="M1083" s="126" t="s">
        <v>271</v>
      </c>
      <c r="N1083" s="126" t="s">
        <v>272</v>
      </c>
      <c r="O1083" s="126" t="s">
        <v>274</v>
      </c>
      <c r="P1083" s="117">
        <v>2539091.92</v>
      </c>
      <c r="Q1083" s="117">
        <v>0</v>
      </c>
      <c r="R1083" s="117">
        <v>0</v>
      </c>
      <c r="S1083" s="117">
        <f>P1083-Q1083-R1083</f>
        <v>2539091.92</v>
      </c>
      <c r="T1083" s="118">
        <f t="shared" si="157"/>
        <v>2346.2316762151172</v>
      </c>
      <c r="U1083" s="118">
        <f>Y1083</f>
        <v>3030.2073553871742</v>
      </c>
      <c r="V1083" s="183">
        <f t="shared" si="151"/>
        <v>683.97567917205697</v>
      </c>
      <c r="W1083" s="183"/>
      <c r="X1083" s="183"/>
      <c r="Y1083" s="64">
        <f t="shared" si="152"/>
        <v>3030.2073553871742</v>
      </c>
      <c r="AA1083" s="64">
        <f t="shared" si="153"/>
        <v>628</v>
      </c>
      <c r="AH1083" s="64" t="e">
        <f t="shared" si="154"/>
        <v>#N/A</v>
      </c>
      <c r="AS1083" s="64" t="e">
        <f t="shared" si="155"/>
        <v>#N/A</v>
      </c>
      <c r="DT1083" s="119"/>
      <c r="DU1083" s="119"/>
      <c r="DV1083" s="119"/>
      <c r="EJ1083" s="120"/>
      <c r="ES1083" s="121"/>
      <c r="FV1083" s="122"/>
      <c r="GL1083" s="123"/>
    </row>
    <row r="1084" spans="1:194" s="20" customFormat="1" ht="36" customHeight="1" x14ac:dyDescent="0.9">
      <c r="A1084" s="64">
        <v>1</v>
      </c>
      <c r="B1084" s="92">
        <f>SUBTOTAL(103,$A$942:A1084)</f>
        <v>132</v>
      </c>
      <c r="C1084" s="116" t="s">
        <v>715</v>
      </c>
      <c r="D1084" s="126">
        <v>1964</v>
      </c>
      <c r="E1084" s="126"/>
      <c r="F1084" s="147" t="s">
        <v>273</v>
      </c>
      <c r="G1084" s="126">
        <v>2</v>
      </c>
      <c r="H1084" s="126">
        <v>2</v>
      </c>
      <c r="I1084" s="117">
        <v>464.9</v>
      </c>
      <c r="J1084" s="117">
        <v>408.7</v>
      </c>
      <c r="K1084" s="117">
        <v>160.9</v>
      </c>
      <c r="L1084" s="128">
        <v>28</v>
      </c>
      <c r="M1084" s="126" t="s">
        <v>271</v>
      </c>
      <c r="N1084" s="126" t="s">
        <v>272</v>
      </c>
      <c r="O1084" s="126" t="s">
        <v>274</v>
      </c>
      <c r="P1084" s="117">
        <v>234636.54</v>
      </c>
      <c r="Q1084" s="117">
        <v>0</v>
      </c>
      <c r="R1084" s="117">
        <v>0</v>
      </c>
      <c r="S1084" s="117">
        <f>P1084-Q1084-R1084</f>
        <v>234636.54</v>
      </c>
      <c r="T1084" s="118">
        <f t="shared" si="157"/>
        <v>504.70324801032484</v>
      </c>
      <c r="U1084" s="118">
        <v>673.78</v>
      </c>
      <c r="V1084" s="183">
        <f t="shared" si="151"/>
        <v>169.07675198967513</v>
      </c>
      <c r="W1084" s="183"/>
      <c r="X1084" s="183"/>
      <c r="Y1084" s="64" t="e">
        <f t="shared" si="152"/>
        <v>#N/A</v>
      </c>
      <c r="AA1084" s="64" t="e">
        <f t="shared" si="153"/>
        <v>#N/A</v>
      </c>
      <c r="AH1084" s="64" t="e">
        <f t="shared" si="154"/>
        <v>#N/A</v>
      </c>
      <c r="AS1084" s="64" t="e">
        <f t="shared" si="155"/>
        <v>#N/A</v>
      </c>
      <c r="DT1084" s="119"/>
      <c r="DU1084" s="119"/>
      <c r="DV1084" s="119"/>
      <c r="EJ1084" s="120"/>
      <c r="ES1084" s="121"/>
      <c r="FV1084" s="122"/>
      <c r="GL1084" s="123"/>
    </row>
    <row r="1085" spans="1:194" s="64" customFormat="1" ht="36" customHeight="1" x14ac:dyDescent="0.9">
      <c r="B1085" s="91" t="s">
        <v>910</v>
      </c>
      <c r="C1085" s="91"/>
      <c r="D1085" s="126" t="s">
        <v>916</v>
      </c>
      <c r="E1085" s="126" t="s">
        <v>916</v>
      </c>
      <c r="F1085" s="126" t="s">
        <v>916</v>
      </c>
      <c r="G1085" s="126" t="s">
        <v>916</v>
      </c>
      <c r="H1085" s="126" t="s">
        <v>916</v>
      </c>
      <c r="I1085" s="117">
        <f>I1086</f>
        <v>455.7</v>
      </c>
      <c r="J1085" s="117">
        <f>J1086</f>
        <v>413.6</v>
      </c>
      <c r="K1085" s="117">
        <f>K1086</f>
        <v>413.6</v>
      </c>
      <c r="L1085" s="127">
        <f>L1086</f>
        <v>26</v>
      </c>
      <c r="M1085" s="126" t="s">
        <v>916</v>
      </c>
      <c r="N1085" s="126" t="s">
        <v>916</v>
      </c>
      <c r="O1085" s="124" t="s">
        <v>916</v>
      </c>
      <c r="P1085" s="118">
        <v>2158336.3499999996</v>
      </c>
      <c r="Q1085" s="118">
        <f>Q1086</f>
        <v>0</v>
      </c>
      <c r="R1085" s="118">
        <f>R1086</f>
        <v>0</v>
      </c>
      <c r="S1085" s="118">
        <f>S1086</f>
        <v>2158336.3499999996</v>
      </c>
      <c r="T1085" s="118">
        <f t="shared" si="157"/>
        <v>4736.309743252139</v>
      </c>
      <c r="U1085" s="118">
        <f>T1085</f>
        <v>4736.309743252139</v>
      </c>
      <c r="V1085" s="183">
        <f t="shared" si="151"/>
        <v>0</v>
      </c>
      <c r="W1085" s="183"/>
      <c r="X1085" s="183"/>
      <c r="Y1085" s="64" t="e">
        <f t="shared" si="152"/>
        <v>#N/A</v>
      </c>
      <c r="AA1085" s="64" t="e">
        <f t="shared" si="153"/>
        <v>#N/A</v>
      </c>
      <c r="AH1085" s="64" t="e">
        <f t="shared" si="154"/>
        <v>#N/A</v>
      </c>
      <c r="AS1085" s="64" t="e">
        <f t="shared" si="155"/>
        <v>#N/A</v>
      </c>
    </row>
    <row r="1086" spans="1:194" s="20" customFormat="1" ht="36" customHeight="1" x14ac:dyDescent="0.9">
      <c r="A1086" s="64">
        <v>1</v>
      </c>
      <c r="B1086" s="92">
        <f>SUBTOTAL(103,$A$942:A1086)</f>
        <v>133</v>
      </c>
      <c r="C1086" s="116" t="s">
        <v>696</v>
      </c>
      <c r="D1086" s="126">
        <v>1962</v>
      </c>
      <c r="E1086" s="126"/>
      <c r="F1086" s="147" t="s">
        <v>273</v>
      </c>
      <c r="G1086" s="126">
        <v>2</v>
      </c>
      <c r="H1086" s="126">
        <v>2</v>
      </c>
      <c r="I1086" s="117">
        <v>455.7</v>
      </c>
      <c r="J1086" s="117">
        <v>413.6</v>
      </c>
      <c r="K1086" s="117">
        <v>413.6</v>
      </c>
      <c r="L1086" s="128">
        <v>26</v>
      </c>
      <c r="M1086" s="126" t="s">
        <v>271</v>
      </c>
      <c r="N1086" s="126" t="s">
        <v>272</v>
      </c>
      <c r="O1086" s="126" t="s">
        <v>274</v>
      </c>
      <c r="P1086" s="117">
        <v>2158336.3499999996</v>
      </c>
      <c r="Q1086" s="117">
        <v>0</v>
      </c>
      <c r="R1086" s="117">
        <v>0</v>
      </c>
      <c r="S1086" s="117">
        <f>P1086-Q1086-R1086</f>
        <v>2158336.3499999996</v>
      </c>
      <c r="T1086" s="118">
        <f t="shared" si="157"/>
        <v>4736.309743252139</v>
      </c>
      <c r="U1086" s="118">
        <f>T1086</f>
        <v>4736.309743252139</v>
      </c>
      <c r="V1086" s="183">
        <f t="shared" si="151"/>
        <v>0</v>
      </c>
      <c r="W1086" s="183"/>
      <c r="X1086" s="183"/>
      <c r="Y1086" s="64">
        <f t="shared" si="152"/>
        <v>4503.3298222514813</v>
      </c>
      <c r="AA1086" s="64">
        <f t="shared" si="153"/>
        <v>393</v>
      </c>
      <c r="AH1086" s="64" t="e">
        <f t="shared" si="154"/>
        <v>#N/A</v>
      </c>
      <c r="AS1086" s="64" t="e">
        <f t="shared" si="155"/>
        <v>#N/A</v>
      </c>
      <c r="DT1086" s="119"/>
      <c r="DU1086" s="119"/>
      <c r="DV1086" s="119"/>
      <c r="EJ1086" s="120"/>
      <c r="ES1086" s="121"/>
      <c r="FV1086" s="122"/>
      <c r="GL1086" s="123"/>
    </row>
    <row r="1087" spans="1:194" s="64" customFormat="1" ht="36" customHeight="1" x14ac:dyDescent="0.9">
      <c r="B1087" s="91" t="s">
        <v>847</v>
      </c>
      <c r="C1087" s="91"/>
      <c r="D1087" s="126" t="s">
        <v>916</v>
      </c>
      <c r="E1087" s="126" t="s">
        <v>916</v>
      </c>
      <c r="F1087" s="126" t="s">
        <v>916</v>
      </c>
      <c r="G1087" s="126" t="s">
        <v>916</v>
      </c>
      <c r="H1087" s="126" t="s">
        <v>916</v>
      </c>
      <c r="I1087" s="117">
        <f>I1088</f>
        <v>3156.2</v>
      </c>
      <c r="J1087" s="117">
        <f>J1088</f>
        <v>2811.5</v>
      </c>
      <c r="K1087" s="117">
        <f>K1088</f>
        <v>759.56</v>
      </c>
      <c r="L1087" s="127">
        <f>L1088</f>
        <v>156</v>
      </c>
      <c r="M1087" s="126" t="s">
        <v>916</v>
      </c>
      <c r="N1087" s="126" t="s">
        <v>916</v>
      </c>
      <c r="O1087" s="124" t="s">
        <v>916</v>
      </c>
      <c r="P1087" s="117">
        <v>2000000</v>
      </c>
      <c r="Q1087" s="117">
        <f>Q1088</f>
        <v>0</v>
      </c>
      <c r="R1087" s="117">
        <f>R1088</f>
        <v>0</v>
      </c>
      <c r="S1087" s="117">
        <f>S1088</f>
        <v>2000000</v>
      </c>
      <c r="T1087" s="118">
        <f t="shared" si="157"/>
        <v>633.67340472720366</v>
      </c>
      <c r="U1087" s="118">
        <f>U1088</f>
        <v>1116.5936315822826</v>
      </c>
      <c r="V1087" s="183">
        <f t="shared" si="151"/>
        <v>482.92022685507891</v>
      </c>
      <c r="W1087" s="183"/>
      <c r="X1087" s="183"/>
      <c r="Y1087" s="64" t="e">
        <f t="shared" si="152"/>
        <v>#N/A</v>
      </c>
      <c r="AA1087" s="64" t="e">
        <f t="shared" si="153"/>
        <v>#N/A</v>
      </c>
      <c r="AH1087" s="64" t="e">
        <f t="shared" si="154"/>
        <v>#N/A</v>
      </c>
      <c r="AS1087" s="64" t="e">
        <f t="shared" si="155"/>
        <v>#N/A</v>
      </c>
    </row>
    <row r="1088" spans="1:194" s="64" customFormat="1" ht="36" customHeight="1" x14ac:dyDescent="0.9">
      <c r="A1088" s="64">
        <v>1</v>
      </c>
      <c r="B1088" s="92">
        <f>SUBTOTAL(103,$A$942:A1088)</f>
        <v>134</v>
      </c>
      <c r="C1088" s="91" t="s">
        <v>711</v>
      </c>
      <c r="D1088" s="126">
        <v>1990</v>
      </c>
      <c r="E1088" s="126"/>
      <c r="F1088" s="145" t="s">
        <v>747</v>
      </c>
      <c r="G1088" s="126">
        <v>5</v>
      </c>
      <c r="H1088" s="126">
        <v>4</v>
      </c>
      <c r="I1088" s="117">
        <v>3156.2</v>
      </c>
      <c r="J1088" s="117">
        <v>2811.5</v>
      </c>
      <c r="K1088" s="117">
        <v>759.56</v>
      </c>
      <c r="L1088" s="127">
        <v>156</v>
      </c>
      <c r="M1088" s="126" t="s">
        <v>271</v>
      </c>
      <c r="N1088" s="126" t="s">
        <v>275</v>
      </c>
      <c r="O1088" s="124" t="s">
        <v>744</v>
      </c>
      <c r="P1088" s="118">
        <v>2000000</v>
      </c>
      <c r="Q1088" s="118">
        <v>0</v>
      </c>
      <c r="R1088" s="118">
        <v>0</v>
      </c>
      <c r="S1088" s="118">
        <f>P1088-Q1088-R1088</f>
        <v>2000000</v>
      </c>
      <c r="T1088" s="118">
        <f t="shared" si="157"/>
        <v>633.67340472720366</v>
      </c>
      <c r="U1088" s="118">
        <f>Y1088</f>
        <v>1116.5936315822826</v>
      </c>
      <c r="V1088" s="183">
        <f t="shared" si="151"/>
        <v>482.92022685507891</v>
      </c>
      <c r="W1088" s="183"/>
      <c r="X1088" s="183"/>
      <c r="Y1088" s="64">
        <f t="shared" si="152"/>
        <v>1116.5936315822826</v>
      </c>
      <c r="AA1088" s="64">
        <f t="shared" si="153"/>
        <v>674.9</v>
      </c>
      <c r="AH1088" s="64" t="e">
        <f t="shared" si="154"/>
        <v>#N/A</v>
      </c>
      <c r="AS1088" s="64" t="e">
        <f t="shared" si="155"/>
        <v>#N/A</v>
      </c>
    </row>
    <row r="1089" spans="1:194" s="64" customFormat="1" ht="36" customHeight="1" x14ac:dyDescent="0.9">
      <c r="B1089" s="91" t="s">
        <v>848</v>
      </c>
      <c r="C1089" s="91"/>
      <c r="D1089" s="126" t="s">
        <v>916</v>
      </c>
      <c r="E1089" s="126" t="s">
        <v>916</v>
      </c>
      <c r="F1089" s="126" t="s">
        <v>916</v>
      </c>
      <c r="G1089" s="126" t="s">
        <v>916</v>
      </c>
      <c r="H1089" s="126" t="s">
        <v>916</v>
      </c>
      <c r="I1089" s="117">
        <f>SUM(I1090:I1096)</f>
        <v>11855.599999999999</v>
      </c>
      <c r="J1089" s="117">
        <f>SUM(J1090:J1096)</f>
        <v>10339</v>
      </c>
      <c r="K1089" s="117">
        <f>SUM(K1090:K1096)</f>
        <v>10137.5</v>
      </c>
      <c r="L1089" s="127">
        <f>SUM(L1090:L1096)</f>
        <v>299</v>
      </c>
      <c r="M1089" s="126" t="s">
        <v>916</v>
      </c>
      <c r="N1089" s="126" t="s">
        <v>916</v>
      </c>
      <c r="O1089" s="124" t="s">
        <v>916</v>
      </c>
      <c r="P1089" s="118">
        <v>23342011.919999998</v>
      </c>
      <c r="Q1089" s="118">
        <f>SUM(Q1090:Q1096)</f>
        <v>0</v>
      </c>
      <c r="R1089" s="118">
        <f>SUM(R1090:R1096)</f>
        <v>0</v>
      </c>
      <c r="S1089" s="118">
        <f>SUM(S1090:S1096)</f>
        <v>23342011.919999998</v>
      </c>
      <c r="T1089" s="118">
        <f t="shared" si="157"/>
        <v>1968.8596039002666</v>
      </c>
      <c r="U1089" s="118">
        <f>MAX(U1090:U1096)</f>
        <v>27692.673949579832</v>
      </c>
      <c r="V1089" s="183">
        <f t="shared" si="151"/>
        <v>25723.814345679566</v>
      </c>
      <c r="W1089" s="183"/>
      <c r="X1089" s="183"/>
      <c r="Y1089" s="64" t="e">
        <f t="shared" si="152"/>
        <v>#N/A</v>
      </c>
      <c r="AA1089" s="64" t="e">
        <f t="shared" si="153"/>
        <v>#N/A</v>
      </c>
      <c r="AH1089" s="64" t="e">
        <f t="shared" si="154"/>
        <v>#N/A</v>
      </c>
      <c r="AS1089" s="64" t="e">
        <f t="shared" si="155"/>
        <v>#N/A</v>
      </c>
    </row>
    <row r="1090" spans="1:194" s="20" customFormat="1" ht="36" customHeight="1" x14ac:dyDescent="0.9">
      <c r="A1090" s="64">
        <v>1</v>
      </c>
      <c r="B1090" s="92">
        <f>SUBTOTAL(103,$A$942:A1090)</f>
        <v>135</v>
      </c>
      <c r="C1090" s="116" t="s">
        <v>683</v>
      </c>
      <c r="D1090" s="126">
        <v>1976</v>
      </c>
      <c r="E1090" s="126"/>
      <c r="F1090" s="147" t="s">
        <v>338</v>
      </c>
      <c r="G1090" s="126">
        <v>2</v>
      </c>
      <c r="H1090" s="126">
        <v>2</v>
      </c>
      <c r="I1090" s="117">
        <v>279.7</v>
      </c>
      <c r="J1090" s="117">
        <v>175.8</v>
      </c>
      <c r="K1090" s="117">
        <v>175.8</v>
      </c>
      <c r="L1090" s="128">
        <v>12</v>
      </c>
      <c r="M1090" s="126" t="s">
        <v>271</v>
      </c>
      <c r="N1090" s="126" t="s">
        <v>272</v>
      </c>
      <c r="O1090" s="126" t="s">
        <v>274</v>
      </c>
      <c r="P1090" s="117">
        <v>1358190.18</v>
      </c>
      <c r="Q1090" s="117">
        <v>0</v>
      </c>
      <c r="R1090" s="117">
        <v>0</v>
      </c>
      <c r="S1090" s="117">
        <f t="shared" ref="S1090:S1096" si="159">P1090-Q1090-R1090</f>
        <v>1358190.18</v>
      </c>
      <c r="T1090" s="118">
        <f t="shared" si="157"/>
        <v>4855.8819449410084</v>
      </c>
      <c r="U1090" s="118">
        <f>Y1090</f>
        <v>4855.8819449410094</v>
      </c>
      <c r="V1090" s="183">
        <f t="shared" si="151"/>
        <v>0</v>
      </c>
      <c r="W1090" s="183"/>
      <c r="X1090" s="183"/>
      <c r="Y1090" s="64">
        <f t="shared" si="152"/>
        <v>4855.8819449410094</v>
      </c>
      <c r="AA1090" s="64">
        <f t="shared" si="153"/>
        <v>260.10000000000002</v>
      </c>
      <c r="AH1090" s="64" t="e">
        <f t="shared" si="154"/>
        <v>#N/A</v>
      </c>
      <c r="AS1090" s="64" t="e">
        <f t="shared" si="155"/>
        <v>#N/A</v>
      </c>
      <c r="DT1090" s="119"/>
      <c r="DU1090" s="119"/>
      <c r="DV1090" s="119"/>
      <c r="EJ1090" s="120"/>
      <c r="ES1090" s="121"/>
      <c r="FV1090" s="122"/>
      <c r="GL1090" s="123"/>
    </row>
    <row r="1091" spans="1:194" s="20" customFormat="1" ht="36" customHeight="1" x14ac:dyDescent="0.9">
      <c r="A1091" s="64">
        <v>1</v>
      </c>
      <c r="B1091" s="92">
        <f>SUBTOTAL(103,$A$942:A1091)</f>
        <v>136</v>
      </c>
      <c r="C1091" s="116" t="s">
        <v>684</v>
      </c>
      <c r="D1091" s="126">
        <v>1981</v>
      </c>
      <c r="E1091" s="126"/>
      <c r="F1091" s="147" t="s">
        <v>273</v>
      </c>
      <c r="G1091" s="126">
        <v>5</v>
      </c>
      <c r="H1091" s="126">
        <v>2</v>
      </c>
      <c r="I1091" s="117">
        <v>2798</v>
      </c>
      <c r="J1091" s="117">
        <v>1711.4</v>
      </c>
      <c r="K1091" s="117">
        <v>1700.7</v>
      </c>
      <c r="L1091" s="128">
        <v>14</v>
      </c>
      <c r="M1091" s="126" t="s">
        <v>271</v>
      </c>
      <c r="N1091" s="126" t="s">
        <v>275</v>
      </c>
      <c r="O1091" s="126" t="s">
        <v>742</v>
      </c>
      <c r="P1091" s="117">
        <v>3973325</v>
      </c>
      <c r="Q1091" s="117">
        <v>0</v>
      </c>
      <c r="R1091" s="117">
        <v>0</v>
      </c>
      <c r="S1091" s="117">
        <f t="shared" si="159"/>
        <v>3973325</v>
      </c>
      <c r="T1091" s="118">
        <f t="shared" si="157"/>
        <v>1420.0589706933524</v>
      </c>
      <c r="U1091" s="118">
        <f>Y1091</f>
        <v>1586.3223731236596</v>
      </c>
      <c r="V1091" s="183">
        <f t="shared" si="151"/>
        <v>166.26340243030722</v>
      </c>
      <c r="W1091" s="183"/>
      <c r="X1091" s="183"/>
      <c r="Y1091" s="64">
        <f t="shared" si="152"/>
        <v>1586.3223731236596</v>
      </c>
      <c r="AA1091" s="64">
        <f t="shared" si="153"/>
        <v>850</v>
      </c>
      <c r="AH1091" s="64" t="e">
        <f t="shared" si="154"/>
        <v>#N/A</v>
      </c>
      <c r="AS1091" s="64" t="e">
        <f t="shared" si="155"/>
        <v>#N/A</v>
      </c>
      <c r="DT1091" s="119"/>
      <c r="DU1091" s="119"/>
      <c r="DV1091" s="119"/>
      <c r="EJ1091" s="120"/>
      <c r="ES1091" s="121"/>
      <c r="FV1091" s="122"/>
      <c r="GL1091" s="123"/>
    </row>
    <row r="1092" spans="1:194" s="20" customFormat="1" ht="36" customHeight="1" x14ac:dyDescent="0.9">
      <c r="A1092" s="64">
        <v>1</v>
      </c>
      <c r="B1092" s="92">
        <f>SUBTOTAL(103,$A$942:A1092)</f>
        <v>137</v>
      </c>
      <c r="C1092" s="116" t="s">
        <v>709</v>
      </c>
      <c r="D1092" s="126">
        <v>1980</v>
      </c>
      <c r="E1092" s="126"/>
      <c r="F1092" s="147" t="s">
        <v>273</v>
      </c>
      <c r="G1092" s="126">
        <v>2</v>
      </c>
      <c r="H1092" s="126">
        <v>3</v>
      </c>
      <c r="I1092" s="117">
        <v>939.9</v>
      </c>
      <c r="J1092" s="117">
        <v>833.2</v>
      </c>
      <c r="K1092" s="117">
        <v>830.3</v>
      </c>
      <c r="L1092" s="128">
        <v>21</v>
      </c>
      <c r="M1092" s="126" t="s">
        <v>271</v>
      </c>
      <c r="N1092" s="126" t="s">
        <v>275</v>
      </c>
      <c r="O1092" s="126" t="s">
        <v>1114</v>
      </c>
      <c r="P1092" s="117">
        <v>2687908</v>
      </c>
      <c r="Q1092" s="117">
        <v>0</v>
      </c>
      <c r="R1092" s="117">
        <v>0</v>
      </c>
      <c r="S1092" s="117">
        <f t="shared" si="159"/>
        <v>2687908</v>
      </c>
      <c r="T1092" s="118">
        <f t="shared" si="157"/>
        <v>2859.7808277476329</v>
      </c>
      <c r="U1092" s="118">
        <f>Y1092</f>
        <v>3058.4114267475261</v>
      </c>
      <c r="V1092" s="183">
        <f t="shared" si="151"/>
        <v>198.63059899989321</v>
      </c>
      <c r="W1092" s="183"/>
      <c r="X1092" s="183"/>
      <c r="Y1092" s="64">
        <f t="shared" si="152"/>
        <v>3058.4114267475261</v>
      </c>
      <c r="AA1092" s="64">
        <f t="shared" si="153"/>
        <v>550.5</v>
      </c>
      <c r="AH1092" s="64" t="e">
        <f t="shared" si="154"/>
        <v>#N/A</v>
      </c>
      <c r="AS1092" s="64" t="e">
        <f t="shared" si="155"/>
        <v>#N/A</v>
      </c>
      <c r="DT1092" s="119"/>
      <c r="DU1092" s="119"/>
      <c r="DV1092" s="119"/>
      <c r="EJ1092" s="120"/>
      <c r="ES1092" s="121"/>
      <c r="FV1092" s="122"/>
      <c r="GL1092" s="123"/>
    </row>
    <row r="1093" spans="1:194" s="20" customFormat="1" ht="36" customHeight="1" x14ac:dyDescent="0.9">
      <c r="A1093" s="64">
        <v>1</v>
      </c>
      <c r="B1093" s="92">
        <f>SUBTOTAL(103,$A$942:A1093)</f>
        <v>138</v>
      </c>
      <c r="C1093" s="116" t="s">
        <v>693</v>
      </c>
      <c r="D1093" s="126">
        <v>1917</v>
      </c>
      <c r="E1093" s="126"/>
      <c r="F1093" s="147" t="s">
        <v>273</v>
      </c>
      <c r="G1093" s="126">
        <v>2</v>
      </c>
      <c r="H1093" s="126">
        <v>1</v>
      </c>
      <c r="I1093" s="117">
        <v>231.6</v>
      </c>
      <c r="J1093" s="117">
        <v>130.9</v>
      </c>
      <c r="K1093" s="117">
        <v>101.7</v>
      </c>
      <c r="L1093" s="128">
        <v>12</v>
      </c>
      <c r="M1093" s="126" t="s">
        <v>271</v>
      </c>
      <c r="N1093" s="126" t="s">
        <v>272</v>
      </c>
      <c r="O1093" s="126" t="s">
        <v>274</v>
      </c>
      <c r="P1093" s="117">
        <v>3058347.5</v>
      </c>
      <c r="Q1093" s="117">
        <v>0</v>
      </c>
      <c r="R1093" s="117">
        <v>0</v>
      </c>
      <c r="S1093" s="117">
        <f t="shared" si="159"/>
        <v>3058347.5</v>
      </c>
      <c r="T1093" s="118">
        <f t="shared" si="157"/>
        <v>13205.300086355786</v>
      </c>
      <c r="U1093" s="118">
        <f>AG1093</f>
        <v>27692.673949579832</v>
      </c>
      <c r="V1093" s="183">
        <f t="shared" si="151"/>
        <v>14487.373863224046</v>
      </c>
      <c r="W1093" s="183"/>
      <c r="X1093" s="183"/>
      <c r="Y1093" s="64" t="e">
        <f t="shared" si="152"/>
        <v>#N/A</v>
      </c>
      <c r="AA1093" s="64" t="e">
        <f t="shared" si="153"/>
        <v>#N/A</v>
      </c>
      <c r="AG1093" s="64">
        <f>AH1093*6191.24/J1093</f>
        <v>27692.673949579832</v>
      </c>
      <c r="AH1093" s="64">
        <f t="shared" si="154"/>
        <v>585.5</v>
      </c>
      <c r="AS1093" s="64" t="e">
        <f t="shared" si="155"/>
        <v>#N/A</v>
      </c>
      <c r="DT1093" s="119"/>
      <c r="DU1093" s="119"/>
      <c r="DV1093" s="119"/>
      <c r="EJ1093" s="120"/>
      <c r="ES1093" s="121"/>
      <c r="FV1093" s="122"/>
      <c r="GL1093" s="123"/>
    </row>
    <row r="1094" spans="1:194" s="20" customFormat="1" ht="36" customHeight="1" x14ac:dyDescent="0.9">
      <c r="A1094" s="64">
        <v>1</v>
      </c>
      <c r="B1094" s="92">
        <f>SUBTOTAL(103,$A$942:A1094)</f>
        <v>139</v>
      </c>
      <c r="C1094" s="116" t="s">
        <v>692</v>
      </c>
      <c r="D1094" s="126">
        <v>1993</v>
      </c>
      <c r="E1094" s="126"/>
      <c r="F1094" s="147" t="s">
        <v>319</v>
      </c>
      <c r="G1094" s="126">
        <v>5</v>
      </c>
      <c r="H1094" s="126">
        <v>5</v>
      </c>
      <c r="I1094" s="117">
        <v>3247</v>
      </c>
      <c r="J1094" s="117">
        <v>3245</v>
      </c>
      <c r="K1094" s="117">
        <v>3245</v>
      </c>
      <c r="L1094" s="128">
        <v>121</v>
      </c>
      <c r="M1094" s="126" t="s">
        <v>271</v>
      </c>
      <c r="N1094" s="126" t="s">
        <v>349</v>
      </c>
      <c r="O1094" s="126" t="s">
        <v>745</v>
      </c>
      <c r="P1094" s="117">
        <v>5240868.3999999994</v>
      </c>
      <c r="Q1094" s="117">
        <v>0</v>
      </c>
      <c r="R1094" s="117">
        <v>0</v>
      </c>
      <c r="S1094" s="117">
        <f t="shared" si="159"/>
        <v>5240868.3999999994</v>
      </c>
      <c r="T1094" s="118">
        <f t="shared" si="157"/>
        <v>1614.064798275331</v>
      </c>
      <c r="U1094" s="118">
        <f>Y1094+AG1094</f>
        <v>6809.8928736095368</v>
      </c>
      <c r="V1094" s="183">
        <f t="shared" si="151"/>
        <v>5195.828075334206</v>
      </c>
      <c r="W1094" s="183"/>
      <c r="X1094" s="183"/>
      <c r="Y1094" s="64">
        <f t="shared" si="152"/>
        <v>1527.7825685247922</v>
      </c>
      <c r="AA1094" s="64">
        <f t="shared" si="153"/>
        <v>950</v>
      </c>
      <c r="AG1094" s="64">
        <f>AH1094*6191.24/J1094</f>
        <v>5282.1103050847451</v>
      </c>
      <c r="AH1094" s="64">
        <f t="shared" si="154"/>
        <v>2768.5</v>
      </c>
      <c r="AS1094" s="64" t="e">
        <f t="shared" si="155"/>
        <v>#N/A</v>
      </c>
      <c r="DT1094" s="119"/>
      <c r="DU1094" s="119"/>
      <c r="DV1094" s="119"/>
      <c r="EJ1094" s="120"/>
      <c r="ES1094" s="121"/>
      <c r="FV1094" s="122"/>
      <c r="GL1094" s="123"/>
    </row>
    <row r="1095" spans="1:194" s="20" customFormat="1" ht="36" customHeight="1" x14ac:dyDescent="0.9">
      <c r="A1095" s="64">
        <v>1</v>
      </c>
      <c r="B1095" s="92">
        <f>SUBTOTAL(103,$A$942:A1095)</f>
        <v>140</v>
      </c>
      <c r="C1095" s="116" t="s">
        <v>678</v>
      </c>
      <c r="D1095" s="126">
        <v>1927</v>
      </c>
      <c r="E1095" s="126"/>
      <c r="F1095" s="147" t="s">
        <v>273</v>
      </c>
      <c r="G1095" s="126">
        <v>2</v>
      </c>
      <c r="H1095" s="126">
        <v>2</v>
      </c>
      <c r="I1095" s="117">
        <v>525.4</v>
      </c>
      <c r="J1095" s="117">
        <v>408.7</v>
      </c>
      <c r="K1095" s="117">
        <v>282</v>
      </c>
      <c r="L1095" s="128">
        <v>32</v>
      </c>
      <c r="M1095" s="126" t="s">
        <v>271</v>
      </c>
      <c r="N1095" s="126" t="s">
        <v>272</v>
      </c>
      <c r="O1095" s="126" t="s">
        <v>274</v>
      </c>
      <c r="P1095" s="117">
        <v>2526766.84</v>
      </c>
      <c r="Q1095" s="117">
        <v>0</v>
      </c>
      <c r="R1095" s="117">
        <v>0</v>
      </c>
      <c r="S1095" s="117">
        <f t="shared" si="159"/>
        <v>2526766.84</v>
      </c>
      <c r="T1095" s="118">
        <f t="shared" si="157"/>
        <v>4809.2250475827941</v>
      </c>
      <c r="U1095" s="118">
        <f>Y1095+AG1095</f>
        <v>16364.662285559725</v>
      </c>
      <c r="V1095" s="183">
        <f t="shared" si="151"/>
        <v>11555.43723797693</v>
      </c>
      <c r="W1095" s="183"/>
      <c r="X1095" s="183"/>
      <c r="Y1095" s="64">
        <f t="shared" si="152"/>
        <v>5466.2923486867148</v>
      </c>
      <c r="AA1095" s="64">
        <f t="shared" si="153"/>
        <v>550</v>
      </c>
      <c r="AG1095" s="64">
        <f>AH1095*6191.24/J1095</f>
        <v>10898.36993687301</v>
      </c>
      <c r="AH1095" s="64">
        <f t="shared" si="154"/>
        <v>719.43</v>
      </c>
      <c r="AS1095" s="64" t="e">
        <f t="shared" si="155"/>
        <v>#N/A</v>
      </c>
      <c r="DT1095" s="119"/>
      <c r="DU1095" s="119"/>
      <c r="DV1095" s="119"/>
      <c r="EJ1095" s="120"/>
      <c r="ES1095" s="121"/>
      <c r="FV1095" s="122"/>
      <c r="GL1095" s="123"/>
    </row>
    <row r="1096" spans="1:194" s="20" customFormat="1" ht="36" customHeight="1" x14ac:dyDescent="0.9">
      <c r="A1096" s="64">
        <v>1</v>
      </c>
      <c r="B1096" s="92">
        <f>SUBTOTAL(103,$A$942:A1096)</f>
        <v>141</v>
      </c>
      <c r="C1096" s="116" t="s">
        <v>679</v>
      </c>
      <c r="D1096" s="126">
        <v>1983</v>
      </c>
      <c r="E1096" s="126"/>
      <c r="F1096" s="147" t="s">
        <v>273</v>
      </c>
      <c r="G1096" s="126">
        <v>9</v>
      </c>
      <c r="H1096" s="126">
        <v>2</v>
      </c>
      <c r="I1096" s="117">
        <v>3834</v>
      </c>
      <c r="J1096" s="117">
        <v>3834</v>
      </c>
      <c r="K1096" s="117">
        <v>3802</v>
      </c>
      <c r="L1096" s="128">
        <v>87</v>
      </c>
      <c r="M1096" s="126" t="s">
        <v>271</v>
      </c>
      <c r="N1096" s="126" t="s">
        <v>349</v>
      </c>
      <c r="O1096" s="126" t="s">
        <v>749</v>
      </c>
      <c r="P1096" s="117">
        <v>4496606</v>
      </c>
      <c r="Q1096" s="117">
        <v>0</v>
      </c>
      <c r="R1096" s="117">
        <v>0</v>
      </c>
      <c r="S1096" s="117">
        <f t="shared" si="159"/>
        <v>4496606</v>
      </c>
      <c r="T1096" s="118">
        <f t="shared" si="157"/>
        <v>1172.8236828377674</v>
      </c>
      <c r="U1096" s="118">
        <f>T1096</f>
        <v>1172.8236828377674</v>
      </c>
      <c r="V1096" s="183">
        <f t="shared" si="151"/>
        <v>0</v>
      </c>
      <c r="W1096" s="183"/>
      <c r="X1096" s="183"/>
      <c r="Y1096" s="64" t="e">
        <f t="shared" si="152"/>
        <v>#N/A</v>
      </c>
      <c r="AA1096" s="64" t="e">
        <f t="shared" si="153"/>
        <v>#N/A</v>
      </c>
      <c r="AH1096" s="64" t="e">
        <f t="shared" si="154"/>
        <v>#N/A</v>
      </c>
      <c r="AR1096" s="64">
        <f>AS1096*2207413/I1096</f>
        <v>1151.4934793948878</v>
      </c>
      <c r="AS1096" s="64">
        <f t="shared" si="155"/>
        <v>2</v>
      </c>
      <c r="DT1096" s="119"/>
      <c r="DU1096" s="119"/>
      <c r="DV1096" s="119"/>
      <c r="EJ1096" s="120"/>
      <c r="ES1096" s="121"/>
      <c r="FV1096" s="122"/>
      <c r="GL1096" s="123"/>
    </row>
    <row r="1097" spans="1:194" s="64" customFormat="1" ht="36" customHeight="1" x14ac:dyDescent="0.9">
      <c r="B1097" s="91" t="s">
        <v>849</v>
      </c>
      <c r="C1097" s="172"/>
      <c r="D1097" s="126" t="s">
        <v>916</v>
      </c>
      <c r="E1097" s="126" t="s">
        <v>916</v>
      </c>
      <c r="F1097" s="126" t="s">
        <v>916</v>
      </c>
      <c r="G1097" s="126" t="s">
        <v>916</v>
      </c>
      <c r="H1097" s="126" t="s">
        <v>916</v>
      </c>
      <c r="I1097" s="117">
        <f>SUM(I1098:I1099)</f>
        <v>5829.2</v>
      </c>
      <c r="J1097" s="117">
        <f>SUM(J1098:J1099)</f>
        <v>5360.1</v>
      </c>
      <c r="K1097" s="117">
        <f>SUM(K1098:K1099)</f>
        <v>4964.8</v>
      </c>
      <c r="L1097" s="127">
        <f>SUM(L1098:L1099)</f>
        <v>215</v>
      </c>
      <c r="M1097" s="126" t="s">
        <v>916</v>
      </c>
      <c r="N1097" s="126" t="s">
        <v>916</v>
      </c>
      <c r="O1097" s="124" t="s">
        <v>916</v>
      </c>
      <c r="P1097" s="118">
        <v>12591900</v>
      </c>
      <c r="Q1097" s="118">
        <f>Q1098+Q1099</f>
        <v>0</v>
      </c>
      <c r="R1097" s="118">
        <f>R1098+R1099</f>
        <v>0</v>
      </c>
      <c r="S1097" s="118">
        <f>S1098+S1099</f>
        <v>12591900</v>
      </c>
      <c r="T1097" s="118">
        <f t="shared" si="157"/>
        <v>2160.1420435051123</v>
      </c>
      <c r="U1097" s="118">
        <f>MAX(U1098:U1099)</f>
        <v>5732.4013086150489</v>
      </c>
      <c r="V1097" s="183">
        <f t="shared" si="151"/>
        <v>3572.2592651099367</v>
      </c>
      <c r="W1097" s="183"/>
      <c r="X1097" s="183"/>
      <c r="Y1097" s="64" t="e">
        <f t="shared" si="152"/>
        <v>#N/A</v>
      </c>
      <c r="AA1097" s="64" t="e">
        <f t="shared" si="153"/>
        <v>#N/A</v>
      </c>
      <c r="AH1097" s="64" t="e">
        <f t="shared" si="154"/>
        <v>#N/A</v>
      </c>
      <c r="AS1097" s="64" t="e">
        <f t="shared" si="155"/>
        <v>#N/A</v>
      </c>
    </row>
    <row r="1098" spans="1:194" s="20" customFormat="1" ht="36" customHeight="1" x14ac:dyDescent="0.9">
      <c r="A1098" s="64">
        <v>1</v>
      </c>
      <c r="B1098" s="92">
        <f>SUBTOTAL(103,$A$942:A1098)</f>
        <v>142</v>
      </c>
      <c r="C1098" s="116" t="s">
        <v>239</v>
      </c>
      <c r="D1098" s="126">
        <v>1954</v>
      </c>
      <c r="E1098" s="126"/>
      <c r="F1098" s="147" t="s">
        <v>344</v>
      </c>
      <c r="G1098" s="126">
        <v>2</v>
      </c>
      <c r="H1098" s="126">
        <v>2</v>
      </c>
      <c r="I1098" s="117">
        <v>825.3</v>
      </c>
      <c r="J1098" s="117">
        <v>722</v>
      </c>
      <c r="K1098" s="117">
        <v>638.6</v>
      </c>
      <c r="L1098" s="128">
        <v>34</v>
      </c>
      <c r="M1098" s="126" t="s">
        <v>271</v>
      </c>
      <c r="N1098" s="126" t="s">
        <v>275</v>
      </c>
      <c r="O1098" s="126" t="s">
        <v>343</v>
      </c>
      <c r="P1098" s="117">
        <v>4620600</v>
      </c>
      <c r="Q1098" s="117">
        <v>0</v>
      </c>
      <c r="R1098" s="117">
        <v>0</v>
      </c>
      <c r="S1098" s="117">
        <f>P1098-Q1098-R1098</f>
        <v>4620600</v>
      </c>
      <c r="T1098" s="118">
        <f t="shared" si="157"/>
        <v>5598.6913849509274</v>
      </c>
      <c r="U1098" s="118">
        <f>Y1098</f>
        <v>5732.4013086150489</v>
      </c>
      <c r="V1098" s="183">
        <f t="shared" si="151"/>
        <v>133.70992366412156</v>
      </c>
      <c r="W1098" s="183"/>
      <c r="X1098" s="183"/>
      <c r="Y1098" s="64">
        <f t="shared" si="152"/>
        <v>5732.4013086150489</v>
      </c>
      <c r="AA1098" s="64">
        <f t="shared" si="153"/>
        <v>906</v>
      </c>
      <c r="AH1098" s="64" t="e">
        <f t="shared" si="154"/>
        <v>#N/A</v>
      </c>
      <c r="AS1098" s="64" t="e">
        <f t="shared" si="155"/>
        <v>#N/A</v>
      </c>
      <c r="DT1098" s="119"/>
      <c r="DU1098" s="119"/>
      <c r="DV1098" s="119"/>
      <c r="EJ1098" s="120"/>
      <c r="ES1098" s="121"/>
      <c r="FV1098" s="122"/>
      <c r="GL1098" s="123"/>
    </row>
    <row r="1099" spans="1:194" s="20" customFormat="1" ht="36" customHeight="1" x14ac:dyDescent="0.9">
      <c r="A1099" s="64">
        <v>1</v>
      </c>
      <c r="B1099" s="92">
        <f>SUBTOTAL(103,$A$942:A1099)</f>
        <v>143</v>
      </c>
      <c r="C1099" s="116" t="s">
        <v>243</v>
      </c>
      <c r="D1099" s="126">
        <v>1970</v>
      </c>
      <c r="E1099" s="126"/>
      <c r="F1099" s="147" t="s">
        <v>273</v>
      </c>
      <c r="G1099" s="126">
        <v>5</v>
      </c>
      <c r="H1099" s="126">
        <v>6</v>
      </c>
      <c r="I1099" s="117">
        <v>5003.8999999999996</v>
      </c>
      <c r="J1099" s="117">
        <v>4638.1000000000004</v>
      </c>
      <c r="K1099" s="117">
        <v>4326.2</v>
      </c>
      <c r="L1099" s="128">
        <v>181</v>
      </c>
      <c r="M1099" s="126" t="s">
        <v>271</v>
      </c>
      <c r="N1099" s="126" t="s">
        <v>275</v>
      </c>
      <c r="O1099" s="126" t="s">
        <v>341</v>
      </c>
      <c r="P1099" s="117">
        <v>7971300</v>
      </c>
      <c r="Q1099" s="117">
        <v>0</v>
      </c>
      <c r="R1099" s="117">
        <v>0</v>
      </c>
      <c r="S1099" s="117">
        <f>P1099-Q1099-R1099</f>
        <v>7971300</v>
      </c>
      <c r="T1099" s="118">
        <f t="shared" si="157"/>
        <v>1593.0174463918145</v>
      </c>
      <c r="U1099" s="118">
        <f>Y1099</f>
        <v>1631.0624512879956</v>
      </c>
      <c r="V1099" s="183">
        <f t="shared" si="151"/>
        <v>38.045004896181126</v>
      </c>
      <c r="W1099" s="183"/>
      <c r="X1099" s="183"/>
      <c r="Y1099" s="64">
        <f t="shared" si="152"/>
        <v>1631.0624512879956</v>
      </c>
      <c r="AA1099" s="64">
        <f t="shared" si="153"/>
        <v>1563</v>
      </c>
      <c r="AH1099" s="64" t="e">
        <f t="shared" si="154"/>
        <v>#N/A</v>
      </c>
      <c r="AS1099" s="64" t="e">
        <f t="shared" si="155"/>
        <v>#N/A</v>
      </c>
      <c r="DT1099" s="119"/>
      <c r="DU1099" s="119"/>
      <c r="DV1099" s="119"/>
      <c r="EJ1099" s="120"/>
      <c r="ES1099" s="121"/>
      <c r="FV1099" s="122"/>
      <c r="GL1099" s="123"/>
    </row>
    <row r="1100" spans="1:194" s="64" customFormat="1" ht="36" customHeight="1" x14ac:dyDescent="0.9">
      <c r="B1100" s="91" t="s">
        <v>850</v>
      </c>
      <c r="C1100" s="91"/>
      <c r="D1100" s="126" t="s">
        <v>916</v>
      </c>
      <c r="E1100" s="126" t="s">
        <v>916</v>
      </c>
      <c r="F1100" s="126" t="s">
        <v>916</v>
      </c>
      <c r="G1100" s="126" t="s">
        <v>916</v>
      </c>
      <c r="H1100" s="126" t="s">
        <v>916</v>
      </c>
      <c r="I1100" s="117">
        <f>I1101</f>
        <v>396.2</v>
      </c>
      <c r="J1100" s="117">
        <f>J1101</f>
        <v>372.4</v>
      </c>
      <c r="K1100" s="117">
        <f>K1101</f>
        <v>187.9</v>
      </c>
      <c r="L1100" s="127">
        <f>L1101</f>
        <v>21</v>
      </c>
      <c r="M1100" s="126" t="s">
        <v>916</v>
      </c>
      <c r="N1100" s="126" t="s">
        <v>916</v>
      </c>
      <c r="O1100" s="124" t="s">
        <v>916</v>
      </c>
      <c r="P1100" s="118">
        <v>1724820</v>
      </c>
      <c r="Q1100" s="118">
        <f>Q1101</f>
        <v>0</v>
      </c>
      <c r="R1100" s="118">
        <f>R1101</f>
        <v>0</v>
      </c>
      <c r="S1100" s="118">
        <f>S1101</f>
        <v>1724820</v>
      </c>
      <c r="T1100" s="118">
        <f t="shared" si="157"/>
        <v>4353.4073700151439</v>
      </c>
      <c r="U1100" s="118">
        <f>U1101</f>
        <v>4457.3769813225645</v>
      </c>
      <c r="V1100" s="183">
        <f t="shared" si="151"/>
        <v>103.96961130742056</v>
      </c>
      <c r="W1100" s="183"/>
      <c r="X1100" s="183"/>
      <c r="Y1100" s="64" t="e">
        <f t="shared" si="152"/>
        <v>#N/A</v>
      </c>
      <c r="AA1100" s="64" t="e">
        <f t="shared" si="153"/>
        <v>#N/A</v>
      </c>
      <c r="AH1100" s="64" t="e">
        <f t="shared" si="154"/>
        <v>#N/A</v>
      </c>
      <c r="AS1100" s="64" t="e">
        <f t="shared" si="155"/>
        <v>#N/A</v>
      </c>
    </row>
    <row r="1101" spans="1:194" s="20" customFormat="1" ht="36" customHeight="1" x14ac:dyDescent="0.9">
      <c r="A1101" s="64">
        <v>1</v>
      </c>
      <c r="B1101" s="92">
        <f>SUBTOTAL(103,$A$942:A1101)</f>
        <v>144</v>
      </c>
      <c r="C1101" s="116" t="s">
        <v>248</v>
      </c>
      <c r="D1101" s="126">
        <v>1977</v>
      </c>
      <c r="E1101" s="126"/>
      <c r="F1101" s="147" t="s">
        <v>273</v>
      </c>
      <c r="G1101" s="126">
        <v>2</v>
      </c>
      <c r="H1101" s="126">
        <v>1</v>
      </c>
      <c r="I1101" s="117">
        <v>396.2</v>
      </c>
      <c r="J1101" s="117">
        <v>372.4</v>
      </c>
      <c r="K1101" s="117">
        <v>187.9</v>
      </c>
      <c r="L1101" s="128">
        <v>21</v>
      </c>
      <c r="M1101" s="126" t="s">
        <v>271</v>
      </c>
      <c r="N1101" s="126" t="s">
        <v>272</v>
      </c>
      <c r="O1101" s="126" t="s">
        <v>274</v>
      </c>
      <c r="P1101" s="117">
        <v>1724820</v>
      </c>
      <c r="Q1101" s="117">
        <v>0</v>
      </c>
      <c r="R1101" s="117">
        <v>0</v>
      </c>
      <c r="S1101" s="117">
        <f>P1101-Q1101-R1101</f>
        <v>1724820</v>
      </c>
      <c r="T1101" s="118">
        <f t="shared" si="157"/>
        <v>4353.4073700151439</v>
      </c>
      <c r="U1101" s="118">
        <f>Y1101</f>
        <v>4457.3769813225645</v>
      </c>
      <c r="V1101" s="183">
        <f t="shared" si="151"/>
        <v>103.96961130742056</v>
      </c>
      <c r="W1101" s="183"/>
      <c r="X1101" s="183"/>
      <c r="Y1101" s="64">
        <f t="shared" si="152"/>
        <v>4457.3769813225645</v>
      </c>
      <c r="AA1101" s="64">
        <f t="shared" si="153"/>
        <v>338.2</v>
      </c>
      <c r="AH1101" s="64" t="e">
        <f t="shared" si="154"/>
        <v>#N/A</v>
      </c>
      <c r="AS1101" s="64" t="e">
        <f t="shared" si="155"/>
        <v>#N/A</v>
      </c>
      <c r="DT1101" s="119"/>
      <c r="DU1101" s="119"/>
      <c r="DV1101" s="119"/>
      <c r="EJ1101" s="120"/>
      <c r="ES1101" s="121"/>
      <c r="FV1101" s="122"/>
      <c r="GL1101" s="123"/>
    </row>
    <row r="1102" spans="1:194" s="64" customFormat="1" ht="36" customHeight="1" x14ac:dyDescent="0.9">
      <c r="B1102" s="91" t="s">
        <v>851</v>
      </c>
      <c r="C1102" s="91"/>
      <c r="D1102" s="126" t="s">
        <v>916</v>
      </c>
      <c r="E1102" s="126" t="s">
        <v>916</v>
      </c>
      <c r="F1102" s="126" t="s">
        <v>916</v>
      </c>
      <c r="G1102" s="126" t="s">
        <v>916</v>
      </c>
      <c r="H1102" s="126" t="s">
        <v>916</v>
      </c>
      <c r="I1102" s="117">
        <f>I1103</f>
        <v>1011.8</v>
      </c>
      <c r="J1102" s="117">
        <f>J1103</f>
        <v>928.8</v>
      </c>
      <c r="K1102" s="117">
        <f>K1103</f>
        <v>827.3</v>
      </c>
      <c r="L1102" s="127">
        <f>L1103</f>
        <v>26</v>
      </c>
      <c r="M1102" s="126" t="s">
        <v>916</v>
      </c>
      <c r="N1102" s="126" t="s">
        <v>916</v>
      </c>
      <c r="O1102" s="124" t="s">
        <v>916</v>
      </c>
      <c r="P1102" s="118">
        <v>1739107.3499999999</v>
      </c>
      <c r="Q1102" s="118">
        <f>Q1103</f>
        <v>0</v>
      </c>
      <c r="R1102" s="118">
        <f>R1103</f>
        <v>0</v>
      </c>
      <c r="S1102" s="118">
        <f>S1103</f>
        <v>1739107.3499999999</v>
      </c>
      <c r="T1102" s="118">
        <f t="shared" si="157"/>
        <v>1718.8252124925873</v>
      </c>
      <c r="U1102" s="118">
        <f>U1103</f>
        <v>3790.8679888027564</v>
      </c>
      <c r="V1102" s="183">
        <f t="shared" si="151"/>
        <v>2072.0427763101688</v>
      </c>
      <c r="W1102" s="183"/>
      <c r="X1102" s="183"/>
      <c r="Y1102" s="64" t="e">
        <f t="shared" si="152"/>
        <v>#N/A</v>
      </c>
      <c r="AA1102" s="64" t="e">
        <f t="shared" si="153"/>
        <v>#N/A</v>
      </c>
      <c r="AH1102" s="64" t="e">
        <f t="shared" si="154"/>
        <v>#N/A</v>
      </c>
      <c r="AS1102" s="64" t="e">
        <f t="shared" si="155"/>
        <v>#N/A</v>
      </c>
    </row>
    <row r="1103" spans="1:194" s="20" customFormat="1" ht="36" customHeight="1" x14ac:dyDescent="0.9">
      <c r="A1103" s="64">
        <v>1</v>
      </c>
      <c r="B1103" s="92">
        <f>SUBTOTAL(103,$A$942:A1103)</f>
        <v>145</v>
      </c>
      <c r="C1103" s="116" t="s">
        <v>250</v>
      </c>
      <c r="D1103" s="126">
        <v>1979</v>
      </c>
      <c r="E1103" s="126"/>
      <c r="F1103" s="147" t="s">
        <v>319</v>
      </c>
      <c r="G1103" s="126">
        <v>3</v>
      </c>
      <c r="H1103" s="126">
        <v>2</v>
      </c>
      <c r="I1103" s="117">
        <v>1011.8</v>
      </c>
      <c r="J1103" s="117">
        <v>928.8</v>
      </c>
      <c r="K1103" s="117">
        <v>827.3</v>
      </c>
      <c r="L1103" s="128">
        <v>26</v>
      </c>
      <c r="M1103" s="126" t="s">
        <v>271</v>
      </c>
      <c r="N1103" s="126" t="s">
        <v>272</v>
      </c>
      <c r="O1103" s="126" t="s">
        <v>274</v>
      </c>
      <c r="P1103" s="117">
        <v>1739107.3499999999</v>
      </c>
      <c r="Q1103" s="117">
        <v>0</v>
      </c>
      <c r="R1103" s="117">
        <v>0</v>
      </c>
      <c r="S1103" s="117">
        <f>P1103-Q1103-R1103</f>
        <v>1739107.3499999999</v>
      </c>
      <c r="T1103" s="118">
        <f t="shared" si="157"/>
        <v>1718.8252124925873</v>
      </c>
      <c r="U1103" s="118">
        <f>AG1103</f>
        <v>3790.8679888027564</v>
      </c>
      <c r="V1103" s="183">
        <f t="shared" si="151"/>
        <v>2072.0427763101688</v>
      </c>
      <c r="W1103" s="183"/>
      <c r="X1103" s="183"/>
      <c r="Y1103" s="64" t="e">
        <f t="shared" si="152"/>
        <v>#N/A</v>
      </c>
      <c r="AA1103" s="64" t="e">
        <f t="shared" si="153"/>
        <v>#N/A</v>
      </c>
      <c r="AG1103" s="64">
        <f>AH1103*6191.24/J1103</f>
        <v>3790.8679888027564</v>
      </c>
      <c r="AH1103" s="64">
        <f t="shared" si="154"/>
        <v>568.70000000000005</v>
      </c>
      <c r="AS1103" s="64" t="e">
        <f t="shared" si="155"/>
        <v>#N/A</v>
      </c>
      <c r="DT1103" s="119"/>
      <c r="DU1103" s="119"/>
      <c r="DV1103" s="119"/>
      <c r="EJ1103" s="120"/>
      <c r="ES1103" s="121"/>
      <c r="FV1103" s="122"/>
      <c r="GL1103" s="123"/>
    </row>
    <row r="1104" spans="1:194" s="64" customFormat="1" ht="36" customHeight="1" x14ac:dyDescent="0.9">
      <c r="B1104" s="91" t="s">
        <v>911</v>
      </c>
      <c r="C1104" s="173"/>
      <c r="D1104" s="126" t="s">
        <v>916</v>
      </c>
      <c r="E1104" s="126" t="s">
        <v>916</v>
      </c>
      <c r="F1104" s="126" t="s">
        <v>916</v>
      </c>
      <c r="G1104" s="126" t="s">
        <v>916</v>
      </c>
      <c r="H1104" s="126" t="s">
        <v>916</v>
      </c>
      <c r="I1104" s="117">
        <f>I1105</f>
        <v>594.20000000000005</v>
      </c>
      <c r="J1104" s="117">
        <f>J1105</f>
        <v>550.6</v>
      </c>
      <c r="K1104" s="117">
        <f>K1105</f>
        <v>550.6</v>
      </c>
      <c r="L1104" s="127">
        <f>L1105</f>
        <v>23</v>
      </c>
      <c r="M1104" s="126" t="s">
        <v>916</v>
      </c>
      <c r="N1104" s="126" t="s">
        <v>916</v>
      </c>
      <c r="O1104" s="124" t="s">
        <v>916</v>
      </c>
      <c r="P1104" s="118">
        <v>3373804.98</v>
      </c>
      <c r="Q1104" s="118">
        <f>Q1105</f>
        <v>0</v>
      </c>
      <c r="R1104" s="118">
        <f>R1105</f>
        <v>0</v>
      </c>
      <c r="S1104" s="118">
        <f>S1105</f>
        <v>3373804.98</v>
      </c>
      <c r="T1104" s="118">
        <f t="shared" si="157"/>
        <v>5677.8946146078761</v>
      </c>
      <c r="U1104" s="118">
        <f>U1105</f>
        <v>5677.8946146078761</v>
      </c>
      <c r="V1104" s="183">
        <f t="shared" si="151"/>
        <v>0</v>
      </c>
      <c r="W1104" s="183"/>
      <c r="X1104" s="183"/>
      <c r="Y1104" s="64" t="e">
        <f t="shared" si="152"/>
        <v>#N/A</v>
      </c>
      <c r="AA1104" s="64" t="e">
        <f t="shared" si="153"/>
        <v>#N/A</v>
      </c>
      <c r="AH1104" s="64" t="e">
        <f t="shared" si="154"/>
        <v>#N/A</v>
      </c>
      <c r="AS1104" s="64" t="e">
        <f t="shared" si="155"/>
        <v>#N/A</v>
      </c>
    </row>
    <row r="1105" spans="1:194" s="20" customFormat="1" ht="36" customHeight="1" x14ac:dyDescent="0.9">
      <c r="A1105" s="64">
        <v>1</v>
      </c>
      <c r="B1105" s="92">
        <f>SUBTOTAL(103,$A$942:A1105)</f>
        <v>146</v>
      </c>
      <c r="C1105" s="116" t="s">
        <v>4</v>
      </c>
      <c r="D1105" s="126">
        <v>1977</v>
      </c>
      <c r="E1105" s="126"/>
      <c r="F1105" s="147" t="s">
        <v>273</v>
      </c>
      <c r="G1105" s="126">
        <v>2</v>
      </c>
      <c r="H1105" s="126">
        <v>2</v>
      </c>
      <c r="I1105" s="117">
        <v>594.20000000000005</v>
      </c>
      <c r="J1105" s="117">
        <v>550.6</v>
      </c>
      <c r="K1105" s="117">
        <v>550.6</v>
      </c>
      <c r="L1105" s="128">
        <v>23</v>
      </c>
      <c r="M1105" s="126" t="s">
        <v>271</v>
      </c>
      <c r="N1105" s="126" t="s">
        <v>272</v>
      </c>
      <c r="O1105" s="126" t="s">
        <v>274</v>
      </c>
      <c r="P1105" s="117">
        <v>3373804.98</v>
      </c>
      <c r="Q1105" s="117">
        <v>0</v>
      </c>
      <c r="R1105" s="117">
        <v>0</v>
      </c>
      <c r="S1105" s="117">
        <f>P1105-Q1105-R1105</f>
        <v>3373804.98</v>
      </c>
      <c r="T1105" s="118">
        <f t="shared" si="157"/>
        <v>5677.8946146078761</v>
      </c>
      <c r="U1105" s="118">
        <f>Y1105</f>
        <v>5677.8946146078761</v>
      </c>
      <c r="V1105" s="183">
        <f t="shared" ref="V1105:V1168" si="160">U1105-T1105</f>
        <v>0</v>
      </c>
      <c r="W1105" s="183"/>
      <c r="X1105" s="183"/>
      <c r="Y1105" s="64">
        <f t="shared" ref="Y1105:Y1168" si="161">AA1105*5221.8/I1105</f>
        <v>5677.8946146078761</v>
      </c>
      <c r="AA1105" s="64">
        <f t="shared" ref="AA1105:AA1168" si="162">VLOOKUP(C1105,AC:AE,2,FALSE)</f>
        <v>646.1</v>
      </c>
      <c r="AH1105" s="64" t="e">
        <f t="shared" ref="AH1105:AH1168" si="163">VLOOKUP(C1105,AJ:AK,2,FALSE)</f>
        <v>#N/A</v>
      </c>
      <c r="AS1105" s="64" t="e">
        <f t="shared" ref="AS1105:AS1168" si="164">VLOOKUP(C1105,AU:AV,2,FALSE)</f>
        <v>#N/A</v>
      </c>
      <c r="DT1105" s="119"/>
      <c r="DU1105" s="119"/>
      <c r="DV1105" s="119"/>
      <c r="EJ1105" s="120"/>
      <c r="ES1105" s="121"/>
      <c r="FV1105" s="122"/>
      <c r="GL1105" s="123"/>
    </row>
    <row r="1106" spans="1:194" s="64" customFormat="1" ht="36" customHeight="1" x14ac:dyDescent="0.9">
      <c r="B1106" s="91" t="s">
        <v>912</v>
      </c>
      <c r="C1106" s="93"/>
      <c r="D1106" s="126" t="s">
        <v>916</v>
      </c>
      <c r="E1106" s="126" t="s">
        <v>916</v>
      </c>
      <c r="F1106" s="126" t="s">
        <v>916</v>
      </c>
      <c r="G1106" s="126" t="s">
        <v>916</v>
      </c>
      <c r="H1106" s="126" t="s">
        <v>916</v>
      </c>
      <c r="I1106" s="117">
        <f>I1107</f>
        <v>833.6</v>
      </c>
      <c r="J1106" s="117">
        <f>J1107</f>
        <v>701</v>
      </c>
      <c r="K1106" s="117">
        <f>K1107</f>
        <v>683.1</v>
      </c>
      <c r="L1106" s="127">
        <f>L1107</f>
        <v>32</v>
      </c>
      <c r="M1106" s="126" t="s">
        <v>916</v>
      </c>
      <c r="N1106" s="126" t="s">
        <v>916</v>
      </c>
      <c r="O1106" s="124" t="s">
        <v>916</v>
      </c>
      <c r="P1106" s="118">
        <v>3916350</v>
      </c>
      <c r="Q1106" s="118">
        <f>Q1107</f>
        <v>0</v>
      </c>
      <c r="R1106" s="118">
        <f>R1107</f>
        <v>0</v>
      </c>
      <c r="S1106" s="118">
        <f>S1107</f>
        <v>3916350</v>
      </c>
      <c r="T1106" s="118">
        <f t="shared" si="157"/>
        <v>4698.1166026871397</v>
      </c>
      <c r="U1106" s="118">
        <f>U1107</f>
        <v>4698.1166026871397</v>
      </c>
      <c r="V1106" s="183">
        <f t="shared" si="160"/>
        <v>0</v>
      </c>
      <c r="W1106" s="183"/>
      <c r="X1106" s="183"/>
      <c r="Y1106" s="64" t="e">
        <f t="shared" si="161"/>
        <v>#N/A</v>
      </c>
      <c r="AA1106" s="64" t="e">
        <f t="shared" si="162"/>
        <v>#N/A</v>
      </c>
      <c r="AH1106" s="64" t="e">
        <f t="shared" si="163"/>
        <v>#N/A</v>
      </c>
      <c r="AS1106" s="64" t="e">
        <f t="shared" si="164"/>
        <v>#N/A</v>
      </c>
    </row>
    <row r="1107" spans="1:194" s="20" customFormat="1" ht="36" customHeight="1" x14ac:dyDescent="0.9">
      <c r="A1107" s="64">
        <v>1</v>
      </c>
      <c r="B1107" s="92">
        <f>SUBTOTAL(103,$A$942:A1107)</f>
        <v>147</v>
      </c>
      <c r="C1107" s="116" t="s">
        <v>3</v>
      </c>
      <c r="D1107" s="126">
        <v>1988</v>
      </c>
      <c r="E1107" s="126"/>
      <c r="F1107" s="147" t="s">
        <v>273</v>
      </c>
      <c r="G1107" s="126">
        <v>2</v>
      </c>
      <c r="H1107" s="126">
        <v>3</v>
      </c>
      <c r="I1107" s="117">
        <v>833.6</v>
      </c>
      <c r="J1107" s="117">
        <v>701</v>
      </c>
      <c r="K1107" s="117">
        <v>683.1</v>
      </c>
      <c r="L1107" s="128">
        <v>32</v>
      </c>
      <c r="M1107" s="126" t="s">
        <v>271</v>
      </c>
      <c r="N1107" s="126" t="s">
        <v>272</v>
      </c>
      <c r="O1107" s="126" t="s">
        <v>274</v>
      </c>
      <c r="P1107" s="117">
        <v>3916350</v>
      </c>
      <c r="Q1107" s="117">
        <v>0</v>
      </c>
      <c r="R1107" s="117">
        <v>0</v>
      </c>
      <c r="S1107" s="117">
        <f>P1107-Q1107-R1107</f>
        <v>3916350</v>
      </c>
      <c r="T1107" s="118">
        <f t="shared" si="157"/>
        <v>4698.1166026871397</v>
      </c>
      <c r="U1107" s="118">
        <f>Y1107</f>
        <v>4698.1166026871397</v>
      </c>
      <c r="V1107" s="183">
        <f t="shared" si="160"/>
        <v>0</v>
      </c>
      <c r="W1107" s="183"/>
      <c r="X1107" s="183"/>
      <c r="Y1107" s="64">
        <f t="shared" si="161"/>
        <v>4698.1166026871397</v>
      </c>
      <c r="AA1107" s="64">
        <f t="shared" si="162"/>
        <v>750</v>
      </c>
      <c r="AH1107" s="64" t="e">
        <f t="shared" si="163"/>
        <v>#N/A</v>
      </c>
      <c r="AS1107" s="64" t="e">
        <f t="shared" si="164"/>
        <v>#N/A</v>
      </c>
      <c r="DT1107" s="119"/>
      <c r="DU1107" s="119"/>
      <c r="DV1107" s="119"/>
      <c r="EJ1107" s="120"/>
      <c r="ES1107" s="121"/>
      <c r="FV1107" s="122"/>
      <c r="GL1107" s="123"/>
    </row>
    <row r="1108" spans="1:194" s="64" customFormat="1" ht="36" customHeight="1" x14ac:dyDescent="0.9">
      <c r="B1108" s="91" t="s">
        <v>853</v>
      </c>
      <c r="C1108" s="172"/>
      <c r="D1108" s="126" t="s">
        <v>916</v>
      </c>
      <c r="E1108" s="126" t="s">
        <v>916</v>
      </c>
      <c r="F1108" s="126" t="s">
        <v>916</v>
      </c>
      <c r="G1108" s="126" t="s">
        <v>916</v>
      </c>
      <c r="H1108" s="126" t="s">
        <v>916</v>
      </c>
      <c r="I1108" s="117">
        <f>SUM(I1109:I1110)</f>
        <v>2184</v>
      </c>
      <c r="J1108" s="117">
        <f>SUM(J1109:J1110)</f>
        <v>1641.1</v>
      </c>
      <c r="K1108" s="117">
        <f>SUM(K1109:K1110)</f>
        <v>1606.7</v>
      </c>
      <c r="L1108" s="127">
        <f>SUM(L1109:L1110)</f>
        <v>57</v>
      </c>
      <c r="M1108" s="126" t="s">
        <v>916</v>
      </c>
      <c r="N1108" s="126" t="s">
        <v>916</v>
      </c>
      <c r="O1108" s="124" t="s">
        <v>916</v>
      </c>
      <c r="P1108" s="118">
        <v>3516578.96</v>
      </c>
      <c r="Q1108" s="118">
        <f>Q1109+Q1110</f>
        <v>0</v>
      </c>
      <c r="R1108" s="118">
        <f>R1109+R1110</f>
        <v>0</v>
      </c>
      <c r="S1108" s="118">
        <f>S1109+S1110</f>
        <v>3516578.96</v>
      </c>
      <c r="T1108" s="118">
        <f t="shared" si="157"/>
        <v>1610.1552014652013</v>
      </c>
      <c r="U1108" s="118">
        <f>MAX(U1109:U1110)</f>
        <v>3526.9829517778867</v>
      </c>
      <c r="V1108" s="183">
        <f t="shared" si="160"/>
        <v>1916.8277503126853</v>
      </c>
      <c r="W1108" s="183"/>
      <c r="X1108" s="183"/>
      <c r="Y1108" s="64" t="e">
        <f t="shared" si="161"/>
        <v>#N/A</v>
      </c>
      <c r="AA1108" s="64" t="e">
        <f t="shared" si="162"/>
        <v>#N/A</v>
      </c>
      <c r="AH1108" s="64" t="e">
        <f t="shared" si="163"/>
        <v>#N/A</v>
      </c>
      <c r="AS1108" s="64" t="e">
        <f t="shared" si="164"/>
        <v>#N/A</v>
      </c>
    </row>
    <row r="1109" spans="1:194" s="20" customFormat="1" ht="36" customHeight="1" x14ac:dyDescent="0.9">
      <c r="A1109" s="64">
        <v>1</v>
      </c>
      <c r="B1109" s="92">
        <f>SUBTOTAL(103,$A$942:A1109)</f>
        <v>148</v>
      </c>
      <c r="C1109" s="116" t="s">
        <v>719</v>
      </c>
      <c r="D1109" s="126">
        <v>1962</v>
      </c>
      <c r="E1109" s="126"/>
      <c r="F1109" s="147" t="s">
        <v>273</v>
      </c>
      <c r="G1109" s="126">
        <v>5</v>
      </c>
      <c r="H1109" s="126">
        <v>2</v>
      </c>
      <c r="I1109" s="117">
        <v>1568.1</v>
      </c>
      <c r="J1109" s="117">
        <v>1273.0999999999999</v>
      </c>
      <c r="K1109" s="117">
        <v>1238.7</v>
      </c>
      <c r="L1109" s="128">
        <v>45</v>
      </c>
      <c r="M1109" s="126" t="s">
        <v>271</v>
      </c>
      <c r="N1109" s="126" t="s">
        <v>275</v>
      </c>
      <c r="O1109" s="126" t="s">
        <v>752</v>
      </c>
      <c r="P1109" s="117">
        <v>1913529.37</v>
      </c>
      <c r="Q1109" s="117">
        <v>0</v>
      </c>
      <c r="R1109" s="117">
        <v>0</v>
      </c>
      <c r="S1109" s="117">
        <f>P1109-Q1109-R1109</f>
        <v>1913529.37</v>
      </c>
      <c r="T1109" s="118">
        <f t="shared" si="157"/>
        <v>1220.2852943052103</v>
      </c>
      <c r="U1109" s="118">
        <f>Y1109</f>
        <v>1465.2075760474461</v>
      </c>
      <c r="V1109" s="183">
        <f t="shared" si="160"/>
        <v>244.92228174223578</v>
      </c>
      <c r="W1109" s="183"/>
      <c r="X1109" s="183"/>
      <c r="Y1109" s="64">
        <f t="shared" si="161"/>
        <v>1465.2075760474461</v>
      </c>
      <c r="AA1109" s="64">
        <f t="shared" si="162"/>
        <v>440</v>
      </c>
      <c r="AH1109" s="64" t="e">
        <f t="shared" si="163"/>
        <v>#N/A</v>
      </c>
      <c r="AS1109" s="64" t="e">
        <f t="shared" si="164"/>
        <v>#N/A</v>
      </c>
      <c r="DT1109" s="119"/>
      <c r="DU1109" s="119"/>
      <c r="DV1109" s="119"/>
      <c r="EJ1109" s="120"/>
      <c r="ES1109" s="121"/>
      <c r="FV1109" s="122"/>
      <c r="GL1109" s="123"/>
    </row>
    <row r="1110" spans="1:194" s="20" customFormat="1" ht="36" customHeight="1" x14ac:dyDescent="0.9">
      <c r="A1110" s="64">
        <v>1</v>
      </c>
      <c r="B1110" s="92">
        <f>SUBTOTAL(103,$A$942:A1110)</f>
        <v>149</v>
      </c>
      <c r="C1110" s="116" t="s">
        <v>717</v>
      </c>
      <c r="D1110" s="126">
        <v>1988</v>
      </c>
      <c r="E1110" s="126" t="s">
        <v>754</v>
      </c>
      <c r="F1110" s="147" t="s">
        <v>273</v>
      </c>
      <c r="G1110" s="126">
        <v>2</v>
      </c>
      <c r="H1110" s="126">
        <v>1</v>
      </c>
      <c r="I1110" s="117">
        <v>615.9</v>
      </c>
      <c r="J1110" s="117">
        <v>368</v>
      </c>
      <c r="K1110" s="117">
        <v>368</v>
      </c>
      <c r="L1110" s="128">
        <v>12</v>
      </c>
      <c r="M1110" s="126" t="s">
        <v>271</v>
      </c>
      <c r="N1110" s="126" t="s">
        <v>275</v>
      </c>
      <c r="O1110" s="126" t="s">
        <v>752</v>
      </c>
      <c r="P1110" s="117">
        <v>1603049.59</v>
      </c>
      <c r="Q1110" s="117">
        <v>0</v>
      </c>
      <c r="R1110" s="117">
        <v>0</v>
      </c>
      <c r="S1110" s="117">
        <f>P1110-Q1110-R1110</f>
        <v>1603049.59</v>
      </c>
      <c r="T1110" s="118">
        <f t="shared" si="157"/>
        <v>2602.7757590517945</v>
      </c>
      <c r="U1110" s="118">
        <f>Y1110</f>
        <v>3526.9829517778867</v>
      </c>
      <c r="V1110" s="183">
        <f t="shared" si="160"/>
        <v>924.20719272609222</v>
      </c>
      <c r="W1110" s="183"/>
      <c r="X1110" s="183"/>
      <c r="Y1110" s="64">
        <f t="shared" si="161"/>
        <v>3526.9829517778867</v>
      </c>
      <c r="AA1110" s="64">
        <f t="shared" si="162"/>
        <v>416</v>
      </c>
      <c r="AH1110" s="64" t="e">
        <f t="shared" si="163"/>
        <v>#N/A</v>
      </c>
      <c r="AS1110" s="64" t="e">
        <f t="shared" si="164"/>
        <v>#N/A</v>
      </c>
      <c r="DT1110" s="119"/>
      <c r="DU1110" s="119"/>
      <c r="DV1110" s="119"/>
      <c r="EJ1110" s="120"/>
      <c r="ES1110" s="121"/>
      <c r="FV1110" s="122"/>
      <c r="GL1110" s="123"/>
    </row>
    <row r="1111" spans="1:194" s="64" customFormat="1" ht="36" customHeight="1" x14ac:dyDescent="0.9">
      <c r="B1111" s="91" t="s">
        <v>895</v>
      </c>
      <c r="C1111" s="91"/>
      <c r="D1111" s="126" t="s">
        <v>916</v>
      </c>
      <c r="E1111" s="126" t="s">
        <v>916</v>
      </c>
      <c r="F1111" s="126" t="s">
        <v>916</v>
      </c>
      <c r="G1111" s="126" t="s">
        <v>916</v>
      </c>
      <c r="H1111" s="126" t="s">
        <v>916</v>
      </c>
      <c r="I1111" s="117">
        <f>I1112</f>
        <v>1069.5</v>
      </c>
      <c r="J1111" s="117">
        <f>J1112</f>
        <v>1035.2</v>
      </c>
      <c r="K1111" s="117">
        <f>K1112</f>
        <v>1035.2</v>
      </c>
      <c r="L1111" s="127">
        <f>L1112</f>
        <v>39</v>
      </c>
      <c r="M1111" s="126" t="s">
        <v>916</v>
      </c>
      <c r="N1111" s="126" t="s">
        <v>916</v>
      </c>
      <c r="O1111" s="124" t="s">
        <v>916</v>
      </c>
      <c r="P1111" s="118">
        <v>3598749.4899999998</v>
      </c>
      <c r="Q1111" s="118">
        <f>Q1112</f>
        <v>0</v>
      </c>
      <c r="R1111" s="118">
        <f>R1112</f>
        <v>0</v>
      </c>
      <c r="S1111" s="118">
        <f>S1112</f>
        <v>3598749.4899999998</v>
      </c>
      <c r="T1111" s="118">
        <f t="shared" si="157"/>
        <v>3364.8896587190275</v>
      </c>
      <c r="U1111" s="118">
        <f>U1112</f>
        <v>4764.3127068723697</v>
      </c>
      <c r="V1111" s="183">
        <f t="shared" si="160"/>
        <v>1399.4230481533423</v>
      </c>
      <c r="W1111" s="183"/>
      <c r="X1111" s="183"/>
      <c r="Y1111" s="64" t="e">
        <f t="shared" si="161"/>
        <v>#N/A</v>
      </c>
      <c r="AA1111" s="64" t="e">
        <f t="shared" si="162"/>
        <v>#N/A</v>
      </c>
      <c r="AH1111" s="64" t="e">
        <f t="shared" si="163"/>
        <v>#N/A</v>
      </c>
      <c r="AS1111" s="64" t="e">
        <f t="shared" si="164"/>
        <v>#N/A</v>
      </c>
    </row>
    <row r="1112" spans="1:194" s="20" customFormat="1" ht="36" customHeight="1" x14ac:dyDescent="0.9">
      <c r="A1112" s="64">
        <v>1</v>
      </c>
      <c r="B1112" s="92">
        <f>SUBTOTAL(103,$A$942:A1112)</f>
        <v>150</v>
      </c>
      <c r="C1112" s="116" t="s">
        <v>725</v>
      </c>
      <c r="D1112" s="126">
        <v>1995</v>
      </c>
      <c r="E1112" s="126"/>
      <c r="F1112" s="147" t="s">
        <v>273</v>
      </c>
      <c r="G1112" s="126">
        <v>2</v>
      </c>
      <c r="H1112" s="126">
        <v>2</v>
      </c>
      <c r="I1112" s="117">
        <v>1069.5</v>
      </c>
      <c r="J1112" s="117">
        <v>1035.2</v>
      </c>
      <c r="K1112" s="117">
        <v>1035.2</v>
      </c>
      <c r="L1112" s="128">
        <v>39</v>
      </c>
      <c r="M1112" s="126" t="s">
        <v>271</v>
      </c>
      <c r="N1112" s="126" t="s">
        <v>272</v>
      </c>
      <c r="O1112" s="126" t="s">
        <v>274</v>
      </c>
      <c r="P1112" s="117">
        <v>3598749.4899999998</v>
      </c>
      <c r="Q1112" s="117">
        <v>0</v>
      </c>
      <c r="R1112" s="117">
        <v>0</v>
      </c>
      <c r="S1112" s="117">
        <f>P1112-Q1112-R1112</f>
        <v>3598749.4899999998</v>
      </c>
      <c r="T1112" s="118">
        <f t="shared" si="157"/>
        <v>3364.8896587190275</v>
      </c>
      <c r="U1112" s="118">
        <f>Y1112</f>
        <v>4764.3127068723697</v>
      </c>
      <c r="V1112" s="183">
        <f t="shared" si="160"/>
        <v>1399.4230481533423</v>
      </c>
      <c r="W1112" s="183"/>
      <c r="X1112" s="183"/>
      <c r="Y1112" s="64">
        <f t="shared" si="161"/>
        <v>4764.3127068723697</v>
      </c>
      <c r="AA1112" s="64">
        <f t="shared" si="162"/>
        <v>975.8</v>
      </c>
      <c r="AH1112" s="64" t="e">
        <f t="shared" si="163"/>
        <v>#N/A</v>
      </c>
      <c r="AS1112" s="64" t="e">
        <f t="shared" si="164"/>
        <v>#N/A</v>
      </c>
      <c r="DT1112" s="119"/>
      <c r="DU1112" s="119"/>
      <c r="DV1112" s="119"/>
      <c r="EJ1112" s="120"/>
      <c r="ES1112" s="121"/>
      <c r="FV1112" s="122"/>
      <c r="GL1112" s="123"/>
    </row>
    <row r="1113" spans="1:194" s="64" customFormat="1" ht="36" customHeight="1" x14ac:dyDescent="0.9">
      <c r="B1113" s="91" t="s">
        <v>855</v>
      </c>
      <c r="C1113" s="91"/>
      <c r="D1113" s="126" t="s">
        <v>916</v>
      </c>
      <c r="E1113" s="126" t="s">
        <v>916</v>
      </c>
      <c r="F1113" s="126" t="s">
        <v>916</v>
      </c>
      <c r="G1113" s="126" t="s">
        <v>916</v>
      </c>
      <c r="H1113" s="126" t="s">
        <v>916</v>
      </c>
      <c r="I1113" s="117">
        <f>I1114</f>
        <v>630</v>
      </c>
      <c r="J1113" s="117">
        <f>J1114</f>
        <v>576.1</v>
      </c>
      <c r="K1113" s="117">
        <f>K1114</f>
        <v>576.1</v>
      </c>
      <c r="L1113" s="127">
        <f>L1114</f>
        <v>32</v>
      </c>
      <c r="M1113" s="126" t="s">
        <v>916</v>
      </c>
      <c r="N1113" s="126" t="s">
        <v>916</v>
      </c>
      <c r="O1113" s="124" t="s">
        <v>916</v>
      </c>
      <c r="P1113" s="118">
        <v>3488946.79</v>
      </c>
      <c r="Q1113" s="118">
        <f>Q1114</f>
        <v>0</v>
      </c>
      <c r="R1113" s="118">
        <f>R1114</f>
        <v>0</v>
      </c>
      <c r="S1113" s="118">
        <f>S1114</f>
        <v>3488946.79</v>
      </c>
      <c r="T1113" s="118">
        <f t="shared" si="157"/>
        <v>5538.0107777777775</v>
      </c>
      <c r="U1113" s="118">
        <f>U1114</f>
        <v>7832.7</v>
      </c>
      <c r="V1113" s="183">
        <f t="shared" si="160"/>
        <v>2294.6892222222223</v>
      </c>
      <c r="W1113" s="183"/>
      <c r="X1113" s="183"/>
      <c r="Y1113" s="64" t="e">
        <f t="shared" si="161"/>
        <v>#N/A</v>
      </c>
      <c r="AA1113" s="64" t="e">
        <f t="shared" si="162"/>
        <v>#N/A</v>
      </c>
      <c r="AH1113" s="64" t="e">
        <f t="shared" si="163"/>
        <v>#N/A</v>
      </c>
      <c r="AS1113" s="64" t="e">
        <f t="shared" si="164"/>
        <v>#N/A</v>
      </c>
    </row>
    <row r="1114" spans="1:194" s="20" customFormat="1" ht="36" customHeight="1" x14ac:dyDescent="0.9">
      <c r="A1114" s="64">
        <v>1</v>
      </c>
      <c r="B1114" s="92">
        <f>SUBTOTAL(103,$A$942:A1114)</f>
        <v>151</v>
      </c>
      <c r="C1114" s="116" t="s">
        <v>723</v>
      </c>
      <c r="D1114" s="126">
        <v>1987</v>
      </c>
      <c r="E1114" s="126"/>
      <c r="F1114" s="147" t="s">
        <v>273</v>
      </c>
      <c r="G1114" s="126">
        <v>2</v>
      </c>
      <c r="H1114" s="126">
        <v>2</v>
      </c>
      <c r="I1114" s="117">
        <v>630</v>
      </c>
      <c r="J1114" s="117">
        <v>576.1</v>
      </c>
      <c r="K1114" s="117">
        <v>576.1</v>
      </c>
      <c r="L1114" s="128">
        <v>32</v>
      </c>
      <c r="M1114" s="126" t="s">
        <v>271</v>
      </c>
      <c r="N1114" s="126" t="s">
        <v>272</v>
      </c>
      <c r="O1114" s="126" t="s">
        <v>274</v>
      </c>
      <c r="P1114" s="117">
        <v>3488946.79</v>
      </c>
      <c r="Q1114" s="117">
        <v>0</v>
      </c>
      <c r="R1114" s="117">
        <v>0</v>
      </c>
      <c r="S1114" s="117">
        <f>P1114-Q1114-R1114</f>
        <v>3488946.79</v>
      </c>
      <c r="T1114" s="118">
        <f t="shared" si="157"/>
        <v>5538.0107777777775</v>
      </c>
      <c r="U1114" s="118">
        <f>Y1114</f>
        <v>7832.7</v>
      </c>
      <c r="V1114" s="183">
        <f t="shared" si="160"/>
        <v>2294.6892222222223</v>
      </c>
      <c r="W1114" s="183"/>
      <c r="X1114" s="183"/>
      <c r="Y1114" s="64">
        <f t="shared" si="161"/>
        <v>7832.7</v>
      </c>
      <c r="AA1114" s="64">
        <f t="shared" si="162"/>
        <v>945</v>
      </c>
      <c r="AH1114" s="64" t="e">
        <f t="shared" si="163"/>
        <v>#N/A</v>
      </c>
      <c r="AS1114" s="64" t="e">
        <f t="shared" si="164"/>
        <v>#N/A</v>
      </c>
      <c r="DT1114" s="119"/>
      <c r="DU1114" s="119"/>
      <c r="DV1114" s="119"/>
      <c r="EJ1114" s="120"/>
      <c r="ES1114" s="121"/>
      <c r="FV1114" s="122"/>
      <c r="GL1114" s="123"/>
    </row>
    <row r="1115" spans="1:194" s="64" customFormat="1" ht="36" customHeight="1" x14ac:dyDescent="0.9">
      <c r="B1115" s="91" t="s">
        <v>913</v>
      </c>
      <c r="C1115" s="91"/>
      <c r="D1115" s="126" t="s">
        <v>916</v>
      </c>
      <c r="E1115" s="126" t="s">
        <v>916</v>
      </c>
      <c r="F1115" s="126" t="s">
        <v>916</v>
      </c>
      <c r="G1115" s="126" t="s">
        <v>916</v>
      </c>
      <c r="H1115" s="126" t="s">
        <v>916</v>
      </c>
      <c r="I1115" s="117">
        <f>I1116</f>
        <v>626.5</v>
      </c>
      <c r="J1115" s="117">
        <f>J1116</f>
        <v>568.5</v>
      </c>
      <c r="K1115" s="117">
        <f>K1116</f>
        <v>568.5</v>
      </c>
      <c r="L1115" s="127">
        <f>L1116</f>
        <v>23</v>
      </c>
      <c r="M1115" s="126" t="s">
        <v>916</v>
      </c>
      <c r="N1115" s="126" t="s">
        <v>916</v>
      </c>
      <c r="O1115" s="124" t="s">
        <v>916</v>
      </c>
      <c r="P1115" s="118">
        <v>1538879.17</v>
      </c>
      <c r="Q1115" s="118">
        <f>Q1116</f>
        <v>0</v>
      </c>
      <c r="R1115" s="118">
        <f>R1116</f>
        <v>0</v>
      </c>
      <c r="S1115" s="118">
        <f>S1116</f>
        <v>1538879.17</v>
      </c>
      <c r="T1115" s="118">
        <f t="shared" si="157"/>
        <v>2456.31152434158</v>
      </c>
      <c r="U1115" s="118">
        <f>U1116</f>
        <v>3317.2807661612133</v>
      </c>
      <c r="V1115" s="183">
        <f t="shared" si="160"/>
        <v>860.96924181963323</v>
      </c>
      <c r="W1115" s="183"/>
      <c r="X1115" s="183"/>
      <c r="Y1115" s="64" t="e">
        <f t="shared" si="161"/>
        <v>#N/A</v>
      </c>
      <c r="AA1115" s="64" t="e">
        <f t="shared" si="162"/>
        <v>#N/A</v>
      </c>
      <c r="AH1115" s="64" t="e">
        <f t="shared" si="163"/>
        <v>#N/A</v>
      </c>
      <c r="AS1115" s="64" t="e">
        <f t="shared" si="164"/>
        <v>#N/A</v>
      </c>
    </row>
    <row r="1116" spans="1:194" s="20" customFormat="1" ht="36" customHeight="1" x14ac:dyDescent="0.9">
      <c r="A1116" s="64">
        <v>1</v>
      </c>
      <c r="B1116" s="92">
        <f>SUBTOTAL(103,$A$942:A1116)</f>
        <v>152</v>
      </c>
      <c r="C1116" s="116" t="s">
        <v>720</v>
      </c>
      <c r="D1116" s="126">
        <v>1978</v>
      </c>
      <c r="E1116" s="126"/>
      <c r="F1116" s="147" t="s">
        <v>273</v>
      </c>
      <c r="G1116" s="126">
        <v>2</v>
      </c>
      <c r="H1116" s="126">
        <v>2</v>
      </c>
      <c r="I1116" s="117">
        <v>626.5</v>
      </c>
      <c r="J1116" s="117">
        <v>568.5</v>
      </c>
      <c r="K1116" s="117">
        <v>568.5</v>
      </c>
      <c r="L1116" s="128">
        <v>23</v>
      </c>
      <c r="M1116" s="126" t="s">
        <v>271</v>
      </c>
      <c r="N1116" s="126" t="s">
        <v>272</v>
      </c>
      <c r="O1116" s="126" t="s">
        <v>274</v>
      </c>
      <c r="P1116" s="117">
        <v>1538879.17</v>
      </c>
      <c r="Q1116" s="117">
        <v>0</v>
      </c>
      <c r="R1116" s="117">
        <v>0</v>
      </c>
      <c r="S1116" s="117">
        <f>P1116-Q1116-R1116</f>
        <v>1538879.17</v>
      </c>
      <c r="T1116" s="118">
        <f t="shared" si="157"/>
        <v>2456.31152434158</v>
      </c>
      <c r="U1116" s="118">
        <f>Y1116</f>
        <v>3317.2807661612133</v>
      </c>
      <c r="V1116" s="183">
        <f t="shared" si="160"/>
        <v>860.96924181963323</v>
      </c>
      <c r="W1116" s="183"/>
      <c r="X1116" s="183"/>
      <c r="Y1116" s="64">
        <f t="shared" si="161"/>
        <v>3317.2807661612133</v>
      </c>
      <c r="AA1116" s="64">
        <f t="shared" si="162"/>
        <v>398</v>
      </c>
      <c r="AH1116" s="64" t="e">
        <f t="shared" si="163"/>
        <v>#N/A</v>
      </c>
      <c r="AS1116" s="64" t="e">
        <f t="shared" si="164"/>
        <v>#N/A</v>
      </c>
      <c r="DT1116" s="119"/>
      <c r="DU1116" s="119"/>
      <c r="DV1116" s="119"/>
      <c r="EJ1116" s="120"/>
      <c r="ES1116" s="121"/>
      <c r="FV1116" s="122"/>
      <c r="GL1116" s="123"/>
    </row>
    <row r="1117" spans="1:194" s="64" customFormat="1" ht="36" customHeight="1" x14ac:dyDescent="0.9">
      <c r="B1117" s="91" t="s">
        <v>856</v>
      </c>
      <c r="C1117" s="172"/>
      <c r="D1117" s="126" t="s">
        <v>916</v>
      </c>
      <c r="E1117" s="126" t="s">
        <v>916</v>
      </c>
      <c r="F1117" s="126" t="s">
        <v>916</v>
      </c>
      <c r="G1117" s="126" t="s">
        <v>916</v>
      </c>
      <c r="H1117" s="126" t="s">
        <v>916</v>
      </c>
      <c r="I1117" s="117">
        <f>SUM(I1118:I1123)</f>
        <v>14681.960000000001</v>
      </c>
      <c r="J1117" s="117">
        <f>SUM(J1118:J1123)</f>
        <v>10898.48</v>
      </c>
      <c r="K1117" s="117">
        <f>SUM(K1118:K1123)</f>
        <v>10621.810000000001</v>
      </c>
      <c r="L1117" s="127">
        <f>SUM(L1118:L1123)</f>
        <v>477</v>
      </c>
      <c r="M1117" s="126" t="s">
        <v>916</v>
      </c>
      <c r="N1117" s="126" t="s">
        <v>916</v>
      </c>
      <c r="O1117" s="124" t="s">
        <v>916</v>
      </c>
      <c r="P1117" s="117">
        <v>28415186.599999998</v>
      </c>
      <c r="Q1117" s="117">
        <f>SUM(Q1118:Q1123)</f>
        <v>0</v>
      </c>
      <c r="R1117" s="117">
        <f>SUM(R1118:R1123)</f>
        <v>0</v>
      </c>
      <c r="S1117" s="117">
        <f>SUM(S1118:S1123)</f>
        <v>28415186.599999998</v>
      </c>
      <c r="T1117" s="118">
        <f t="shared" si="157"/>
        <v>1935.3810117995142</v>
      </c>
      <c r="U1117" s="118">
        <f>MAX(U1118:U1123)</f>
        <v>4965.2271457950001</v>
      </c>
      <c r="V1117" s="183">
        <f t="shared" si="160"/>
        <v>3029.8461339954856</v>
      </c>
      <c r="W1117" s="183"/>
      <c r="X1117" s="183"/>
      <c r="Y1117" s="64" t="e">
        <f t="shared" si="161"/>
        <v>#N/A</v>
      </c>
      <c r="AA1117" s="64" t="e">
        <f t="shared" si="162"/>
        <v>#N/A</v>
      </c>
      <c r="AH1117" s="64" t="e">
        <f t="shared" si="163"/>
        <v>#N/A</v>
      </c>
      <c r="AS1117" s="64" t="e">
        <f t="shared" si="164"/>
        <v>#N/A</v>
      </c>
    </row>
    <row r="1118" spans="1:194" s="20" customFormat="1" ht="36" customHeight="1" x14ac:dyDescent="0.9">
      <c r="A1118" s="64">
        <v>1</v>
      </c>
      <c r="B1118" s="92">
        <f>SUBTOTAL(103,$A$942:A1118)</f>
        <v>153</v>
      </c>
      <c r="C1118" s="116" t="s">
        <v>135</v>
      </c>
      <c r="D1118" s="126">
        <v>1994</v>
      </c>
      <c r="E1118" s="126"/>
      <c r="F1118" s="147" t="s">
        <v>273</v>
      </c>
      <c r="G1118" s="126">
        <v>4</v>
      </c>
      <c r="H1118" s="126">
        <v>4</v>
      </c>
      <c r="I1118" s="117">
        <v>3731.88</v>
      </c>
      <c r="J1118" s="117">
        <v>2769.88</v>
      </c>
      <c r="K1118" s="117">
        <v>2769</v>
      </c>
      <c r="L1118" s="128">
        <v>112</v>
      </c>
      <c r="M1118" s="126" t="s">
        <v>271</v>
      </c>
      <c r="N1118" s="126" t="s">
        <v>275</v>
      </c>
      <c r="O1118" s="126" t="s">
        <v>290</v>
      </c>
      <c r="P1118" s="117">
        <v>6533531.75</v>
      </c>
      <c r="Q1118" s="117">
        <v>0</v>
      </c>
      <c r="R1118" s="117">
        <v>0</v>
      </c>
      <c r="S1118" s="117">
        <f t="shared" ref="S1118:S1123" si="165">P1118-Q1118-R1118</f>
        <v>6533531.75</v>
      </c>
      <c r="T1118" s="118">
        <f t="shared" si="157"/>
        <v>1750.7346833231506</v>
      </c>
      <c r="U1118" s="118">
        <f t="shared" ref="U1118:U1123" si="166">T1118</f>
        <v>1750.7346833231506</v>
      </c>
      <c r="V1118" s="183">
        <f t="shared" si="160"/>
        <v>0</v>
      </c>
      <c r="W1118" s="183"/>
      <c r="X1118" s="183"/>
      <c r="Y1118" s="64">
        <f t="shared" si="161"/>
        <v>1644.1083314576031</v>
      </c>
      <c r="AA1118" s="64">
        <f t="shared" si="162"/>
        <v>1175</v>
      </c>
      <c r="AH1118" s="64" t="e">
        <f t="shared" si="163"/>
        <v>#N/A</v>
      </c>
      <c r="AS1118" s="64" t="e">
        <f t="shared" si="164"/>
        <v>#N/A</v>
      </c>
      <c r="DT1118" s="119"/>
      <c r="DU1118" s="119"/>
      <c r="DV1118" s="119"/>
      <c r="EJ1118" s="120"/>
      <c r="ES1118" s="121"/>
      <c r="FV1118" s="122"/>
      <c r="GL1118" s="123"/>
    </row>
    <row r="1119" spans="1:194" s="20" customFormat="1" ht="36" customHeight="1" x14ac:dyDescent="0.9">
      <c r="A1119" s="64">
        <v>1</v>
      </c>
      <c r="B1119" s="92">
        <f>SUBTOTAL(103,$A$942:A1119)</f>
        <v>154</v>
      </c>
      <c r="C1119" s="116" t="s">
        <v>132</v>
      </c>
      <c r="D1119" s="126">
        <v>1992</v>
      </c>
      <c r="E1119" s="126"/>
      <c r="F1119" s="147" t="s">
        <v>273</v>
      </c>
      <c r="G1119" s="126">
        <v>2</v>
      </c>
      <c r="H1119" s="126">
        <v>3</v>
      </c>
      <c r="I1119" s="117">
        <v>1621.8</v>
      </c>
      <c r="J1119" s="117">
        <v>965.3</v>
      </c>
      <c r="K1119" s="117">
        <v>915.9</v>
      </c>
      <c r="L1119" s="128">
        <v>39</v>
      </c>
      <c r="M1119" s="126" t="s">
        <v>271</v>
      </c>
      <c r="N1119" s="126" t="s">
        <v>275</v>
      </c>
      <c r="O1119" s="126" t="s">
        <v>290</v>
      </c>
      <c r="P1119" s="117">
        <v>4210000</v>
      </c>
      <c r="Q1119" s="117">
        <v>0</v>
      </c>
      <c r="R1119" s="117">
        <v>0</v>
      </c>
      <c r="S1119" s="117">
        <f t="shared" si="165"/>
        <v>4210000</v>
      </c>
      <c r="T1119" s="118">
        <f t="shared" si="157"/>
        <v>2595.8811197434948</v>
      </c>
      <c r="U1119" s="118">
        <f t="shared" si="166"/>
        <v>2595.8811197434948</v>
      </c>
      <c r="V1119" s="183">
        <f t="shared" si="160"/>
        <v>0</v>
      </c>
      <c r="W1119" s="183"/>
      <c r="X1119" s="183"/>
      <c r="Y1119" s="64">
        <f t="shared" si="161"/>
        <v>2408.3773584905662</v>
      </c>
      <c r="AA1119" s="64">
        <f t="shared" si="162"/>
        <v>748</v>
      </c>
      <c r="AH1119" s="64" t="e">
        <f t="shared" si="163"/>
        <v>#N/A</v>
      </c>
      <c r="AS1119" s="64" t="e">
        <f t="shared" si="164"/>
        <v>#N/A</v>
      </c>
      <c r="DT1119" s="119"/>
      <c r="DU1119" s="119"/>
      <c r="DV1119" s="119"/>
      <c r="EJ1119" s="120"/>
      <c r="ES1119" s="121"/>
      <c r="FV1119" s="122"/>
      <c r="GL1119" s="123"/>
    </row>
    <row r="1120" spans="1:194" s="20" customFormat="1" ht="36" customHeight="1" x14ac:dyDescent="0.9">
      <c r="A1120" s="64">
        <v>1</v>
      </c>
      <c r="B1120" s="92">
        <f>SUBTOTAL(103,$A$942:A1120)</f>
        <v>155</v>
      </c>
      <c r="C1120" s="116" t="s">
        <v>137</v>
      </c>
      <c r="D1120" s="126">
        <v>1986</v>
      </c>
      <c r="E1120" s="126"/>
      <c r="F1120" s="147" t="s">
        <v>273</v>
      </c>
      <c r="G1120" s="126">
        <v>2</v>
      </c>
      <c r="H1120" s="126">
        <v>3</v>
      </c>
      <c r="I1120" s="117">
        <v>923.9</v>
      </c>
      <c r="J1120" s="117">
        <v>841.9</v>
      </c>
      <c r="K1120" s="117">
        <v>646.1</v>
      </c>
      <c r="L1120" s="128">
        <v>47</v>
      </c>
      <c r="M1120" s="126" t="s">
        <v>271</v>
      </c>
      <c r="N1120" s="126" t="s">
        <v>275</v>
      </c>
      <c r="O1120" s="126" t="s">
        <v>290</v>
      </c>
      <c r="P1120" s="117">
        <v>4587373.3600000003</v>
      </c>
      <c r="Q1120" s="117">
        <v>0</v>
      </c>
      <c r="R1120" s="117">
        <v>0</v>
      </c>
      <c r="S1120" s="117">
        <f t="shared" si="165"/>
        <v>4587373.3600000003</v>
      </c>
      <c r="T1120" s="118">
        <f t="shared" si="157"/>
        <v>4965.2271457950001</v>
      </c>
      <c r="U1120" s="118">
        <f t="shared" si="166"/>
        <v>4965.2271457950001</v>
      </c>
      <c r="V1120" s="183">
        <f t="shared" si="160"/>
        <v>0</v>
      </c>
      <c r="W1120" s="183"/>
      <c r="X1120" s="183"/>
      <c r="Y1120" s="64">
        <f t="shared" si="161"/>
        <v>4662.8260634267781</v>
      </c>
      <c r="AA1120" s="64">
        <f t="shared" si="162"/>
        <v>825</v>
      </c>
      <c r="AH1120" s="64" t="e">
        <f t="shared" si="163"/>
        <v>#N/A</v>
      </c>
      <c r="AS1120" s="64" t="e">
        <f t="shared" si="164"/>
        <v>#N/A</v>
      </c>
      <c r="DT1120" s="119"/>
      <c r="DU1120" s="119"/>
      <c r="DV1120" s="119"/>
      <c r="EJ1120" s="120"/>
      <c r="ES1120" s="121"/>
      <c r="FV1120" s="122"/>
      <c r="GL1120" s="123"/>
    </row>
    <row r="1121" spans="1:194" s="20" customFormat="1" ht="36" customHeight="1" x14ac:dyDescent="0.9">
      <c r="A1121" s="64">
        <v>1</v>
      </c>
      <c r="B1121" s="92">
        <f>SUBTOTAL(103,$A$942:A1121)</f>
        <v>156</v>
      </c>
      <c r="C1121" s="116" t="s">
        <v>133</v>
      </c>
      <c r="D1121" s="126">
        <v>1972</v>
      </c>
      <c r="E1121" s="126"/>
      <c r="F1121" s="147" t="s">
        <v>273</v>
      </c>
      <c r="G1121" s="126">
        <v>5</v>
      </c>
      <c r="H1121" s="126">
        <v>4</v>
      </c>
      <c r="I1121" s="117">
        <v>3740.78</v>
      </c>
      <c r="J1121" s="117">
        <v>2819.9</v>
      </c>
      <c r="K1121" s="117">
        <v>2819.7</v>
      </c>
      <c r="L1121" s="128">
        <v>124</v>
      </c>
      <c r="M1121" s="126" t="s">
        <v>271</v>
      </c>
      <c r="N1121" s="126" t="s">
        <v>275</v>
      </c>
      <c r="O1121" s="126" t="s">
        <v>291</v>
      </c>
      <c r="P1121" s="117">
        <v>5599375.7199999997</v>
      </c>
      <c r="Q1121" s="117">
        <v>0</v>
      </c>
      <c r="R1121" s="117">
        <v>0</v>
      </c>
      <c r="S1121" s="117">
        <f t="shared" si="165"/>
        <v>5599375.7199999997</v>
      </c>
      <c r="T1121" s="118">
        <f t="shared" si="157"/>
        <v>1496.8471067531368</v>
      </c>
      <c r="U1121" s="118">
        <f t="shared" si="166"/>
        <v>1496.8471067531368</v>
      </c>
      <c r="V1121" s="183">
        <f t="shared" si="160"/>
        <v>0</v>
      </c>
      <c r="W1121" s="183"/>
      <c r="X1121" s="183"/>
      <c r="Y1121" s="64">
        <f t="shared" si="161"/>
        <v>1405.683467084405</v>
      </c>
      <c r="AA1121" s="64">
        <f t="shared" si="162"/>
        <v>1007</v>
      </c>
      <c r="AH1121" s="64" t="e">
        <f t="shared" si="163"/>
        <v>#N/A</v>
      </c>
      <c r="AS1121" s="64" t="e">
        <f t="shared" si="164"/>
        <v>#N/A</v>
      </c>
      <c r="DT1121" s="119"/>
      <c r="DU1121" s="119"/>
      <c r="DV1121" s="119"/>
      <c r="EJ1121" s="120"/>
      <c r="ES1121" s="121"/>
      <c r="FV1121" s="122"/>
      <c r="GL1121" s="123"/>
    </row>
    <row r="1122" spans="1:194" s="20" customFormat="1" ht="36" customHeight="1" x14ac:dyDescent="0.9">
      <c r="A1122" s="64">
        <v>1</v>
      </c>
      <c r="B1122" s="92">
        <f>SUBTOTAL(103,$A$942:A1122)</f>
        <v>157</v>
      </c>
      <c r="C1122" s="116" t="s">
        <v>134</v>
      </c>
      <c r="D1122" s="126">
        <v>1979</v>
      </c>
      <c r="E1122" s="126"/>
      <c r="F1122" s="147" t="s">
        <v>273</v>
      </c>
      <c r="G1122" s="126">
        <v>5</v>
      </c>
      <c r="H1122" s="126">
        <v>4</v>
      </c>
      <c r="I1122" s="117">
        <v>4025.6</v>
      </c>
      <c r="J1122" s="117">
        <v>3076</v>
      </c>
      <c r="K1122" s="117">
        <v>3076</v>
      </c>
      <c r="L1122" s="128">
        <v>133</v>
      </c>
      <c r="M1122" s="126" t="s">
        <v>271</v>
      </c>
      <c r="N1122" s="126" t="s">
        <v>275</v>
      </c>
      <c r="O1122" s="126" t="s">
        <v>291</v>
      </c>
      <c r="P1122" s="117">
        <v>4480243.62</v>
      </c>
      <c r="Q1122" s="117">
        <v>0</v>
      </c>
      <c r="R1122" s="117">
        <v>0</v>
      </c>
      <c r="S1122" s="117">
        <f t="shared" si="165"/>
        <v>4480243.62</v>
      </c>
      <c r="T1122" s="118">
        <f t="shared" ref="T1122:T1185" si="167">P1122/I1122</f>
        <v>1112.9381011526232</v>
      </c>
      <c r="U1122" s="118">
        <f t="shared" si="166"/>
        <v>1112.9381011526232</v>
      </c>
      <c r="V1122" s="183">
        <f t="shared" si="160"/>
        <v>0</v>
      </c>
      <c r="W1122" s="183"/>
      <c r="X1122" s="183"/>
      <c r="Y1122" s="64">
        <f t="shared" si="161"/>
        <v>1002.1767388712242</v>
      </c>
      <c r="AA1122" s="64">
        <f t="shared" si="162"/>
        <v>772.6</v>
      </c>
      <c r="AH1122" s="64" t="e">
        <f t="shared" si="163"/>
        <v>#N/A</v>
      </c>
      <c r="AS1122" s="64" t="e">
        <f t="shared" si="164"/>
        <v>#N/A</v>
      </c>
      <c r="DT1122" s="119"/>
      <c r="DU1122" s="119"/>
      <c r="DV1122" s="119"/>
      <c r="EJ1122" s="120"/>
      <c r="ES1122" s="121"/>
      <c r="FV1122" s="122"/>
      <c r="GL1122" s="123"/>
    </row>
    <row r="1123" spans="1:194" s="20" customFormat="1" ht="36" customHeight="1" x14ac:dyDescent="0.9">
      <c r="A1123" s="64">
        <v>1</v>
      </c>
      <c r="B1123" s="92">
        <f>SUBTOTAL(103,$A$942:A1123)</f>
        <v>158</v>
      </c>
      <c r="C1123" s="116" t="s">
        <v>1647</v>
      </c>
      <c r="D1123" s="126">
        <v>1967</v>
      </c>
      <c r="E1123" s="126"/>
      <c r="F1123" s="147" t="s">
        <v>326</v>
      </c>
      <c r="G1123" s="126">
        <v>2</v>
      </c>
      <c r="H1123" s="126">
        <v>2</v>
      </c>
      <c r="I1123" s="117">
        <v>638</v>
      </c>
      <c r="J1123" s="117">
        <v>425.5</v>
      </c>
      <c r="K1123" s="117">
        <f>J1123-30.39</f>
        <v>395.11</v>
      </c>
      <c r="L1123" s="128">
        <v>22</v>
      </c>
      <c r="M1123" s="126" t="s">
        <v>271</v>
      </c>
      <c r="N1123" s="126" t="s">
        <v>275</v>
      </c>
      <c r="O1123" s="126" t="s">
        <v>1633</v>
      </c>
      <c r="P1123" s="117">
        <v>3004662.15</v>
      </c>
      <c r="Q1123" s="117">
        <v>0</v>
      </c>
      <c r="R1123" s="117">
        <v>0</v>
      </c>
      <c r="S1123" s="117">
        <f t="shared" si="165"/>
        <v>3004662.15</v>
      </c>
      <c r="T1123" s="118">
        <f t="shared" si="167"/>
        <v>4709.5018025078371</v>
      </c>
      <c r="U1123" s="118">
        <f t="shared" si="166"/>
        <v>4709.5018025078371</v>
      </c>
      <c r="V1123" s="183">
        <f t="shared" si="160"/>
        <v>0</v>
      </c>
      <c r="W1123" s="183"/>
      <c r="X1123" s="183"/>
      <c r="Y1123" s="64" t="e">
        <f t="shared" si="161"/>
        <v>#N/A</v>
      </c>
      <c r="AA1123" s="64" t="e">
        <f t="shared" si="162"/>
        <v>#N/A</v>
      </c>
      <c r="AH1123" s="64" t="e">
        <f t="shared" si="163"/>
        <v>#N/A</v>
      </c>
      <c r="AS1123" s="64" t="e">
        <f t="shared" si="164"/>
        <v>#N/A</v>
      </c>
      <c r="DT1123" s="144"/>
      <c r="DU1123" s="144"/>
      <c r="DV1123" s="144"/>
      <c r="EJ1123" s="120"/>
      <c r="ES1123" s="121"/>
      <c r="FV1123" s="122"/>
      <c r="GL1123" s="123"/>
    </row>
    <row r="1124" spans="1:194" s="64" customFormat="1" ht="36" customHeight="1" x14ac:dyDescent="0.9">
      <c r="B1124" s="91" t="s">
        <v>862</v>
      </c>
      <c r="C1124" s="172"/>
      <c r="D1124" s="126" t="s">
        <v>916</v>
      </c>
      <c r="E1124" s="126" t="s">
        <v>916</v>
      </c>
      <c r="F1124" s="126" t="s">
        <v>916</v>
      </c>
      <c r="G1124" s="126" t="s">
        <v>916</v>
      </c>
      <c r="H1124" s="126" t="s">
        <v>916</v>
      </c>
      <c r="I1124" s="117">
        <f>SUM(I1125:I1126)</f>
        <v>1573</v>
      </c>
      <c r="J1124" s="117">
        <f>SUM(J1125:J1126)</f>
        <v>1423.2</v>
      </c>
      <c r="K1124" s="117">
        <f>SUM(K1125:K1126)</f>
        <v>1423.2</v>
      </c>
      <c r="L1124" s="127">
        <f>SUM(L1125:L1126)</f>
        <v>68</v>
      </c>
      <c r="M1124" s="126" t="s">
        <v>916</v>
      </c>
      <c r="N1124" s="126" t="s">
        <v>916</v>
      </c>
      <c r="O1124" s="124" t="s">
        <v>916</v>
      </c>
      <c r="P1124" s="118">
        <v>5777967.8699999992</v>
      </c>
      <c r="Q1124" s="118">
        <f>Q1125+Q1126</f>
        <v>0</v>
      </c>
      <c r="R1124" s="118">
        <f>R1125+R1126</f>
        <v>0</v>
      </c>
      <c r="S1124" s="118">
        <f>S1125+S1126</f>
        <v>5777967.8699999992</v>
      </c>
      <c r="T1124" s="118">
        <f t="shared" si="167"/>
        <v>3673.2154291163379</v>
      </c>
      <c r="U1124" s="118">
        <f>MAX(U1125:U1126)</f>
        <v>4787.775402583613</v>
      </c>
      <c r="V1124" s="183">
        <f t="shared" si="160"/>
        <v>1114.5599734672751</v>
      </c>
      <c r="W1124" s="183"/>
      <c r="X1124" s="183"/>
      <c r="Y1124" s="64" t="e">
        <f t="shared" si="161"/>
        <v>#N/A</v>
      </c>
      <c r="AA1124" s="64" t="e">
        <f t="shared" si="162"/>
        <v>#N/A</v>
      </c>
      <c r="AH1124" s="64" t="e">
        <f t="shared" si="163"/>
        <v>#N/A</v>
      </c>
      <c r="AS1124" s="64" t="e">
        <f t="shared" si="164"/>
        <v>#N/A</v>
      </c>
    </row>
    <row r="1125" spans="1:194" s="20" customFormat="1" ht="36" customHeight="1" x14ac:dyDescent="0.9">
      <c r="A1125" s="64">
        <v>1</v>
      </c>
      <c r="B1125" s="92">
        <f>SUBTOTAL(103,$A$942:A1125)</f>
        <v>159</v>
      </c>
      <c r="C1125" s="116" t="s">
        <v>182</v>
      </c>
      <c r="D1125" s="126">
        <v>1985</v>
      </c>
      <c r="E1125" s="126">
        <v>2009</v>
      </c>
      <c r="F1125" s="147" t="s">
        <v>273</v>
      </c>
      <c r="G1125" s="126">
        <v>2</v>
      </c>
      <c r="H1125" s="126">
        <v>3</v>
      </c>
      <c r="I1125" s="117">
        <v>958.4</v>
      </c>
      <c r="J1125" s="117">
        <v>858.1</v>
      </c>
      <c r="K1125" s="117">
        <v>858.1</v>
      </c>
      <c r="L1125" s="128">
        <v>48</v>
      </c>
      <c r="M1125" s="126" t="s">
        <v>271</v>
      </c>
      <c r="N1125" s="126" t="s">
        <v>272</v>
      </c>
      <c r="O1125" s="126" t="s">
        <v>274</v>
      </c>
      <c r="P1125" s="117">
        <v>3457143.9</v>
      </c>
      <c r="Q1125" s="117">
        <v>0</v>
      </c>
      <c r="R1125" s="117">
        <v>0</v>
      </c>
      <c r="S1125" s="117">
        <f>P1125-Q1125-R1125</f>
        <v>3457143.9</v>
      </c>
      <c r="T1125" s="118">
        <f t="shared" si="167"/>
        <v>3607.2035684474122</v>
      </c>
      <c r="U1125" s="118">
        <f>T1125</f>
        <v>3607.2035684474122</v>
      </c>
      <c r="V1125" s="183">
        <f t="shared" si="160"/>
        <v>0</v>
      </c>
      <c r="W1125" s="183"/>
      <c r="X1125" s="183"/>
      <c r="Y1125" s="64">
        <f t="shared" si="161"/>
        <v>3432.5271285475792</v>
      </c>
      <c r="AA1125" s="64">
        <f t="shared" si="162"/>
        <v>630</v>
      </c>
      <c r="AH1125" s="64" t="e">
        <f t="shared" si="163"/>
        <v>#N/A</v>
      </c>
      <c r="AS1125" s="64" t="e">
        <f t="shared" si="164"/>
        <v>#N/A</v>
      </c>
      <c r="DT1125" s="119"/>
      <c r="DU1125" s="119"/>
      <c r="DV1125" s="119"/>
      <c r="EJ1125" s="120"/>
      <c r="ES1125" s="121"/>
      <c r="FV1125" s="122"/>
      <c r="GL1125" s="123"/>
    </row>
    <row r="1126" spans="1:194" s="20" customFormat="1" ht="36" customHeight="1" x14ac:dyDescent="0.9">
      <c r="A1126" s="64">
        <v>1</v>
      </c>
      <c r="B1126" s="92">
        <f>SUBTOTAL(103,$A$942:A1126)</f>
        <v>160</v>
      </c>
      <c r="C1126" s="116" t="s">
        <v>183</v>
      </c>
      <c r="D1126" s="126">
        <v>1961</v>
      </c>
      <c r="E1126" s="126">
        <v>2009</v>
      </c>
      <c r="F1126" s="147" t="s">
        <v>273</v>
      </c>
      <c r="G1126" s="126">
        <v>2</v>
      </c>
      <c r="H1126" s="126">
        <v>2</v>
      </c>
      <c r="I1126" s="117">
        <v>614.6</v>
      </c>
      <c r="J1126" s="117">
        <v>565.1</v>
      </c>
      <c r="K1126" s="117">
        <v>565.1</v>
      </c>
      <c r="L1126" s="128">
        <v>20</v>
      </c>
      <c r="M1126" s="126" t="s">
        <v>271</v>
      </c>
      <c r="N1126" s="126" t="s">
        <v>272</v>
      </c>
      <c r="O1126" s="126" t="s">
        <v>274</v>
      </c>
      <c r="P1126" s="117">
        <v>2320823.9699999997</v>
      </c>
      <c r="Q1126" s="117">
        <v>0</v>
      </c>
      <c r="R1126" s="117">
        <v>0</v>
      </c>
      <c r="S1126" s="117">
        <f>P1126-Q1126-R1126</f>
        <v>2320823.9699999997</v>
      </c>
      <c r="T1126" s="118">
        <f t="shared" si="167"/>
        <v>3776.153547022453</v>
      </c>
      <c r="U1126" s="118">
        <f>AG1126</f>
        <v>4787.775402583613</v>
      </c>
      <c r="V1126" s="183">
        <f t="shared" si="160"/>
        <v>1011.6218555611599</v>
      </c>
      <c r="W1126" s="183"/>
      <c r="X1126" s="183"/>
      <c r="Y1126" s="64" t="e">
        <f t="shared" si="161"/>
        <v>#N/A</v>
      </c>
      <c r="AA1126" s="64" t="e">
        <f t="shared" si="162"/>
        <v>#N/A</v>
      </c>
      <c r="AG1126" s="64">
        <f>AH1126*6191.24/J1126</f>
        <v>4787.775402583613</v>
      </c>
      <c r="AH1126" s="64">
        <f t="shared" si="163"/>
        <v>437</v>
      </c>
      <c r="AS1126" s="64" t="e">
        <f t="shared" si="164"/>
        <v>#N/A</v>
      </c>
      <c r="DT1126" s="119"/>
      <c r="DU1126" s="119"/>
      <c r="DV1126" s="119"/>
      <c r="EJ1126" s="120"/>
      <c r="ES1126" s="121"/>
      <c r="FV1126" s="122"/>
      <c r="GL1126" s="123"/>
    </row>
    <row r="1127" spans="1:194" s="64" customFormat="1" ht="36" customHeight="1" x14ac:dyDescent="0.9">
      <c r="B1127" s="91" t="s">
        <v>859</v>
      </c>
      <c r="C1127" s="91"/>
      <c r="D1127" s="126" t="s">
        <v>916</v>
      </c>
      <c r="E1127" s="126" t="s">
        <v>916</v>
      </c>
      <c r="F1127" s="126" t="s">
        <v>916</v>
      </c>
      <c r="G1127" s="126" t="s">
        <v>916</v>
      </c>
      <c r="H1127" s="126" t="s">
        <v>916</v>
      </c>
      <c r="I1127" s="117">
        <f>SUM(I1128:I1130)</f>
        <v>1266.2</v>
      </c>
      <c r="J1127" s="117">
        <f>SUM(J1128:J1130)</f>
        <v>1144.9000000000001</v>
      </c>
      <c r="K1127" s="117">
        <f>SUM(K1128:K1130)</f>
        <v>922.5</v>
      </c>
      <c r="L1127" s="127">
        <f>SUM(L1128:L1130)</f>
        <v>52</v>
      </c>
      <c r="M1127" s="126" t="s">
        <v>916</v>
      </c>
      <c r="N1127" s="126" t="s">
        <v>916</v>
      </c>
      <c r="O1127" s="124" t="s">
        <v>916</v>
      </c>
      <c r="P1127" s="118">
        <v>4715781.71</v>
      </c>
      <c r="Q1127" s="118">
        <f>Q1128+Q1129+Q1130</f>
        <v>0</v>
      </c>
      <c r="R1127" s="118">
        <f>R1128+R1129+R1130</f>
        <v>0</v>
      </c>
      <c r="S1127" s="118">
        <f>S1128+S1129+S1130</f>
        <v>4715781.71</v>
      </c>
      <c r="T1127" s="118">
        <f t="shared" si="167"/>
        <v>3724.3576923076921</v>
      </c>
      <c r="U1127" s="118">
        <f>MAX(U1128:U1130)</f>
        <v>5066.2751715374843</v>
      </c>
      <c r="V1127" s="183">
        <f t="shared" si="160"/>
        <v>1341.9174792297922</v>
      </c>
      <c r="W1127" s="183"/>
      <c r="X1127" s="183"/>
      <c r="Y1127" s="64" t="e">
        <f t="shared" si="161"/>
        <v>#N/A</v>
      </c>
      <c r="AA1127" s="64" t="e">
        <f t="shared" si="162"/>
        <v>#N/A</v>
      </c>
      <c r="AH1127" s="64" t="e">
        <f t="shared" si="163"/>
        <v>#N/A</v>
      </c>
      <c r="AS1127" s="64" t="e">
        <f t="shared" si="164"/>
        <v>#N/A</v>
      </c>
    </row>
    <row r="1128" spans="1:194" s="20" customFormat="1" ht="36" customHeight="1" x14ac:dyDescent="0.9">
      <c r="A1128" s="64">
        <v>1</v>
      </c>
      <c r="B1128" s="92">
        <f>SUBTOTAL(103,$A$942:A1128)</f>
        <v>161</v>
      </c>
      <c r="C1128" s="116" t="s">
        <v>817</v>
      </c>
      <c r="D1128" s="126">
        <v>1961</v>
      </c>
      <c r="E1128" s="126"/>
      <c r="F1128" s="147" t="s">
        <v>273</v>
      </c>
      <c r="G1128" s="126">
        <v>2</v>
      </c>
      <c r="H1128" s="126">
        <v>1</v>
      </c>
      <c r="I1128" s="117">
        <v>442.8</v>
      </c>
      <c r="J1128" s="117">
        <v>393.5</v>
      </c>
      <c r="K1128" s="117">
        <v>240.4</v>
      </c>
      <c r="L1128" s="128">
        <v>21</v>
      </c>
      <c r="M1128" s="126" t="s">
        <v>271</v>
      </c>
      <c r="N1128" s="126" t="s">
        <v>345</v>
      </c>
      <c r="O1128" s="126" t="s">
        <v>346</v>
      </c>
      <c r="P1128" s="117">
        <v>1710080.82</v>
      </c>
      <c r="Q1128" s="117">
        <v>0</v>
      </c>
      <c r="R1128" s="117">
        <v>0</v>
      </c>
      <c r="S1128" s="117">
        <f>P1128-Q1128-R1128</f>
        <v>1710080.82</v>
      </c>
      <c r="T1128" s="118">
        <f t="shared" si="167"/>
        <v>3861.9711382113824</v>
      </c>
      <c r="U1128" s="118">
        <f>AG1128</f>
        <v>5066.2751715374843</v>
      </c>
      <c r="V1128" s="183">
        <f t="shared" si="160"/>
        <v>1204.3040333261019</v>
      </c>
      <c r="W1128" s="183"/>
      <c r="X1128" s="183"/>
      <c r="Y1128" s="64" t="e">
        <f t="shared" si="161"/>
        <v>#N/A</v>
      </c>
      <c r="AA1128" s="64" t="e">
        <f t="shared" si="162"/>
        <v>#N/A</v>
      </c>
      <c r="AG1128" s="64">
        <f>AH1128*6191.24/J1128</f>
        <v>5066.2751715374843</v>
      </c>
      <c r="AH1128" s="64">
        <f t="shared" si="163"/>
        <v>322</v>
      </c>
      <c r="AS1128" s="64" t="e">
        <f t="shared" si="164"/>
        <v>#N/A</v>
      </c>
      <c r="DT1128" s="119"/>
      <c r="DU1128" s="119"/>
      <c r="DV1128" s="119"/>
      <c r="EJ1128" s="120"/>
      <c r="ES1128" s="121"/>
      <c r="FV1128" s="122"/>
      <c r="GL1128" s="123"/>
    </row>
    <row r="1129" spans="1:194" s="20" customFormat="1" ht="36" customHeight="1" x14ac:dyDescent="0.9">
      <c r="A1129" s="64">
        <v>1</v>
      </c>
      <c r="B1129" s="92">
        <f>SUBTOTAL(103,$A$942:A1129)</f>
        <v>162</v>
      </c>
      <c r="C1129" s="116" t="s">
        <v>187</v>
      </c>
      <c r="D1129" s="126">
        <v>1960</v>
      </c>
      <c r="E1129" s="126"/>
      <c r="F1129" s="147" t="s">
        <v>273</v>
      </c>
      <c r="G1129" s="126">
        <v>2</v>
      </c>
      <c r="H1129" s="126">
        <v>1</v>
      </c>
      <c r="I1129" s="117">
        <v>442.6</v>
      </c>
      <c r="J1129" s="117">
        <v>400.2</v>
      </c>
      <c r="K1129" s="117">
        <v>353.8</v>
      </c>
      <c r="L1129" s="128">
        <v>12</v>
      </c>
      <c r="M1129" s="126" t="s">
        <v>271</v>
      </c>
      <c r="N1129" s="126" t="s">
        <v>345</v>
      </c>
      <c r="O1129" s="126" t="s">
        <v>346</v>
      </c>
      <c r="P1129" s="117">
        <v>1452729.9</v>
      </c>
      <c r="Q1129" s="117">
        <v>0</v>
      </c>
      <c r="R1129" s="117">
        <v>0</v>
      </c>
      <c r="S1129" s="117">
        <f>P1129-Q1129-R1129</f>
        <v>1452729.9</v>
      </c>
      <c r="T1129" s="118">
        <f t="shared" si="167"/>
        <v>3282.2636692272927</v>
      </c>
      <c r="U1129" s="118">
        <f>T1129</f>
        <v>3282.2636692272927</v>
      </c>
      <c r="V1129" s="183">
        <f t="shared" si="160"/>
        <v>0</v>
      </c>
      <c r="W1129" s="183"/>
      <c r="X1129" s="183"/>
      <c r="Y1129" s="64">
        <f t="shared" si="161"/>
        <v>3067.483054676909</v>
      </c>
      <c r="AA1129" s="64">
        <f t="shared" si="162"/>
        <v>260</v>
      </c>
      <c r="AH1129" s="64" t="e">
        <f t="shared" si="163"/>
        <v>#N/A</v>
      </c>
      <c r="AS1129" s="64" t="e">
        <f t="shared" si="164"/>
        <v>#N/A</v>
      </c>
      <c r="DT1129" s="119"/>
      <c r="DU1129" s="119"/>
      <c r="DV1129" s="119"/>
      <c r="EJ1129" s="120"/>
      <c r="ES1129" s="121"/>
      <c r="FV1129" s="122"/>
      <c r="GL1129" s="123"/>
    </row>
    <row r="1130" spans="1:194" s="20" customFormat="1" ht="36" customHeight="1" x14ac:dyDescent="0.9">
      <c r="A1130" s="64">
        <v>1</v>
      </c>
      <c r="B1130" s="92">
        <f>SUBTOTAL(103,$A$942:A1130)</f>
        <v>163</v>
      </c>
      <c r="C1130" s="116" t="s">
        <v>184</v>
      </c>
      <c r="D1130" s="126">
        <v>1968</v>
      </c>
      <c r="E1130" s="126"/>
      <c r="F1130" s="147" t="s">
        <v>273</v>
      </c>
      <c r="G1130" s="126">
        <v>2</v>
      </c>
      <c r="H1130" s="126">
        <v>1</v>
      </c>
      <c r="I1130" s="117">
        <v>380.8</v>
      </c>
      <c r="J1130" s="117">
        <v>351.2</v>
      </c>
      <c r="K1130" s="117">
        <v>328.3</v>
      </c>
      <c r="L1130" s="128">
        <v>19</v>
      </c>
      <c r="M1130" s="126" t="s">
        <v>271</v>
      </c>
      <c r="N1130" s="126" t="s">
        <v>345</v>
      </c>
      <c r="O1130" s="126" t="s">
        <v>346</v>
      </c>
      <c r="P1130" s="117">
        <v>1552970.99</v>
      </c>
      <c r="Q1130" s="117">
        <v>0</v>
      </c>
      <c r="R1130" s="117">
        <v>0</v>
      </c>
      <c r="S1130" s="117">
        <f>P1130-Q1130-R1130</f>
        <v>1552970.99</v>
      </c>
      <c r="T1130" s="118">
        <f t="shared" si="167"/>
        <v>4078.180120798319</v>
      </c>
      <c r="U1130" s="118">
        <f>T1130</f>
        <v>4078.180120798319</v>
      </c>
      <c r="V1130" s="183">
        <f t="shared" si="160"/>
        <v>0</v>
      </c>
      <c r="W1130" s="183"/>
      <c r="X1130" s="183"/>
      <c r="Y1130" s="64">
        <f t="shared" si="161"/>
        <v>3880.696953781513</v>
      </c>
      <c r="AA1130" s="64">
        <f t="shared" si="162"/>
        <v>283</v>
      </c>
      <c r="AH1130" s="64" t="e">
        <f t="shared" si="163"/>
        <v>#N/A</v>
      </c>
      <c r="AS1130" s="64" t="e">
        <f t="shared" si="164"/>
        <v>#N/A</v>
      </c>
      <c r="DT1130" s="119"/>
      <c r="DU1130" s="119"/>
      <c r="DV1130" s="119"/>
      <c r="EJ1130" s="120"/>
      <c r="ES1130" s="121"/>
      <c r="FV1130" s="122"/>
      <c r="GL1130" s="123"/>
    </row>
    <row r="1131" spans="1:194" s="64" customFormat="1" ht="36" customHeight="1" x14ac:dyDescent="0.9">
      <c r="B1131" s="91" t="s">
        <v>860</v>
      </c>
      <c r="C1131" s="91"/>
      <c r="D1131" s="126" t="s">
        <v>916</v>
      </c>
      <c r="E1131" s="126" t="s">
        <v>916</v>
      </c>
      <c r="F1131" s="126" t="s">
        <v>916</v>
      </c>
      <c r="G1131" s="126" t="s">
        <v>916</v>
      </c>
      <c r="H1131" s="126" t="s">
        <v>916</v>
      </c>
      <c r="I1131" s="117">
        <f>SUM(I1132:I1133)</f>
        <v>703.5</v>
      </c>
      <c r="J1131" s="117">
        <f>SUM(J1132:J1133)</f>
        <v>641.4</v>
      </c>
      <c r="K1131" s="117">
        <f>SUM(K1132:K1133)</f>
        <v>603.20000000000005</v>
      </c>
      <c r="L1131" s="127">
        <f>SUM(L1132:L1133)</f>
        <v>36</v>
      </c>
      <c r="M1131" s="126" t="s">
        <v>916</v>
      </c>
      <c r="N1131" s="126" t="s">
        <v>916</v>
      </c>
      <c r="O1131" s="124" t="s">
        <v>916</v>
      </c>
      <c r="P1131" s="118">
        <v>2590114.16</v>
      </c>
      <c r="Q1131" s="118">
        <f>Q1132+Q1133</f>
        <v>0</v>
      </c>
      <c r="R1131" s="118">
        <f>R1132+R1133</f>
        <v>0</v>
      </c>
      <c r="S1131" s="118">
        <f>S1132+S1133</f>
        <v>2590114.16</v>
      </c>
      <c r="T1131" s="118">
        <f t="shared" si="167"/>
        <v>3681.7543141435681</v>
      </c>
      <c r="U1131" s="118">
        <f>T1131</f>
        <v>3681.7543141435681</v>
      </c>
      <c r="V1131" s="183">
        <f t="shared" si="160"/>
        <v>0</v>
      </c>
      <c r="W1131" s="183"/>
      <c r="X1131" s="183"/>
      <c r="Y1131" s="64" t="e">
        <f t="shared" si="161"/>
        <v>#N/A</v>
      </c>
      <c r="AA1131" s="64" t="e">
        <f t="shared" si="162"/>
        <v>#N/A</v>
      </c>
      <c r="AH1131" s="64" t="e">
        <f t="shared" si="163"/>
        <v>#N/A</v>
      </c>
      <c r="AS1131" s="64" t="e">
        <f t="shared" si="164"/>
        <v>#N/A</v>
      </c>
    </row>
    <row r="1132" spans="1:194" s="20" customFormat="1" ht="36" customHeight="1" x14ac:dyDescent="0.9">
      <c r="A1132" s="64">
        <v>1</v>
      </c>
      <c r="B1132" s="92">
        <f>SUBTOTAL(103,$A$942:A1132)</f>
        <v>164</v>
      </c>
      <c r="C1132" s="116" t="s">
        <v>185</v>
      </c>
      <c r="D1132" s="126">
        <v>1959</v>
      </c>
      <c r="E1132" s="126"/>
      <c r="F1132" s="147" t="s">
        <v>338</v>
      </c>
      <c r="G1132" s="126">
        <v>2</v>
      </c>
      <c r="H1132" s="126">
        <v>1</v>
      </c>
      <c r="I1132" s="117">
        <v>360</v>
      </c>
      <c r="J1132" s="117">
        <v>325.89999999999998</v>
      </c>
      <c r="K1132" s="117">
        <v>287.7</v>
      </c>
      <c r="L1132" s="128">
        <v>15</v>
      </c>
      <c r="M1132" s="126" t="s">
        <v>271</v>
      </c>
      <c r="N1132" s="126" t="s">
        <v>345</v>
      </c>
      <c r="O1132" s="126" t="s">
        <v>347</v>
      </c>
      <c r="P1132" s="117">
        <v>1262131.9000000001</v>
      </c>
      <c r="Q1132" s="117">
        <v>0</v>
      </c>
      <c r="R1132" s="117">
        <v>0</v>
      </c>
      <c r="S1132" s="117">
        <f>P1132-Q1132-R1132</f>
        <v>1262131.9000000001</v>
      </c>
      <c r="T1132" s="118">
        <f t="shared" si="167"/>
        <v>3505.9219444444448</v>
      </c>
      <c r="U1132" s="118">
        <f>T1132</f>
        <v>3505.9219444444448</v>
      </c>
      <c r="V1132" s="183">
        <f t="shared" si="160"/>
        <v>0</v>
      </c>
      <c r="W1132" s="183"/>
      <c r="X1132" s="183"/>
      <c r="Y1132" s="64">
        <f t="shared" si="161"/>
        <v>3336.15</v>
      </c>
      <c r="AA1132" s="64">
        <f t="shared" si="162"/>
        <v>230</v>
      </c>
      <c r="AH1132" s="64" t="e">
        <f t="shared" si="163"/>
        <v>#N/A</v>
      </c>
      <c r="AS1132" s="64" t="e">
        <f t="shared" si="164"/>
        <v>#N/A</v>
      </c>
      <c r="DT1132" s="119"/>
      <c r="DU1132" s="119"/>
      <c r="DV1132" s="119"/>
      <c r="EJ1132" s="120"/>
      <c r="ES1132" s="121"/>
      <c r="FV1132" s="122"/>
      <c r="GL1132" s="123"/>
    </row>
    <row r="1133" spans="1:194" s="20" customFormat="1" ht="36" customHeight="1" x14ac:dyDescent="0.9">
      <c r="A1133" s="64">
        <v>1</v>
      </c>
      <c r="B1133" s="92">
        <f>SUBTOTAL(103,$A$942:A1133)</f>
        <v>165</v>
      </c>
      <c r="C1133" s="116" t="s">
        <v>181</v>
      </c>
      <c r="D1133" s="126">
        <v>1970</v>
      </c>
      <c r="E1133" s="126"/>
      <c r="F1133" s="147" t="s">
        <v>273</v>
      </c>
      <c r="G1133" s="126">
        <v>2</v>
      </c>
      <c r="H1133" s="126">
        <v>1</v>
      </c>
      <c r="I1133" s="117">
        <v>343.5</v>
      </c>
      <c r="J1133" s="117">
        <v>315.5</v>
      </c>
      <c r="K1133" s="117">
        <v>315.5</v>
      </c>
      <c r="L1133" s="128">
        <v>21</v>
      </c>
      <c r="M1133" s="126" t="s">
        <v>271</v>
      </c>
      <c r="N1133" s="126" t="s">
        <v>345</v>
      </c>
      <c r="O1133" s="126" t="s">
        <v>347</v>
      </c>
      <c r="P1133" s="117">
        <v>1327982.26</v>
      </c>
      <c r="Q1133" s="117">
        <v>0</v>
      </c>
      <c r="R1133" s="117">
        <v>0</v>
      </c>
      <c r="S1133" s="117">
        <f>P1133-Q1133-R1133</f>
        <v>1327982.26</v>
      </c>
      <c r="T1133" s="118">
        <f t="shared" si="167"/>
        <v>3866.0327802037846</v>
      </c>
      <c r="U1133" s="118">
        <f>T1133</f>
        <v>3866.0327802037846</v>
      </c>
      <c r="V1133" s="183">
        <f t="shared" si="160"/>
        <v>0</v>
      </c>
      <c r="W1133" s="183"/>
      <c r="X1133" s="183"/>
      <c r="Y1133" s="64">
        <f t="shared" si="161"/>
        <v>3678.8227074235811</v>
      </c>
      <c r="AA1133" s="64">
        <f t="shared" si="162"/>
        <v>242</v>
      </c>
      <c r="AH1133" s="64" t="e">
        <f t="shared" si="163"/>
        <v>#N/A</v>
      </c>
      <c r="AS1133" s="64" t="e">
        <f t="shared" si="164"/>
        <v>#N/A</v>
      </c>
      <c r="DT1133" s="119"/>
      <c r="DU1133" s="119"/>
      <c r="DV1133" s="119"/>
      <c r="EJ1133" s="120"/>
      <c r="ES1133" s="121"/>
      <c r="FV1133" s="122"/>
      <c r="GL1133" s="123"/>
    </row>
    <row r="1134" spans="1:194" s="64" customFormat="1" ht="36" customHeight="1" x14ac:dyDescent="0.9">
      <c r="B1134" s="91" t="s">
        <v>861</v>
      </c>
      <c r="C1134" s="91"/>
      <c r="D1134" s="126" t="s">
        <v>916</v>
      </c>
      <c r="E1134" s="126" t="s">
        <v>916</v>
      </c>
      <c r="F1134" s="126" t="s">
        <v>916</v>
      </c>
      <c r="G1134" s="126" t="s">
        <v>916</v>
      </c>
      <c r="H1134" s="126" t="s">
        <v>916</v>
      </c>
      <c r="I1134" s="117">
        <f>I1135</f>
        <v>1217.2</v>
      </c>
      <c r="J1134" s="117">
        <f>J1135</f>
        <v>862.2</v>
      </c>
      <c r="K1134" s="117">
        <f>K1135</f>
        <v>862.2</v>
      </c>
      <c r="L1134" s="127">
        <f>L1135</f>
        <v>47</v>
      </c>
      <c r="M1134" s="126" t="s">
        <v>916</v>
      </c>
      <c r="N1134" s="126" t="s">
        <v>916</v>
      </c>
      <c r="O1134" s="124" t="s">
        <v>916</v>
      </c>
      <c r="P1134" s="118">
        <v>1456533.11</v>
      </c>
      <c r="Q1134" s="118">
        <f>Q1135</f>
        <v>0</v>
      </c>
      <c r="R1134" s="118">
        <f>R1135</f>
        <v>0</v>
      </c>
      <c r="S1134" s="118">
        <f>S1135</f>
        <v>1456533.11</v>
      </c>
      <c r="T1134" s="118">
        <f t="shared" si="167"/>
        <v>1196.6259530069012</v>
      </c>
      <c r="U1134" s="118">
        <f>U1135</f>
        <v>1201.2027604337825</v>
      </c>
      <c r="V1134" s="183">
        <f t="shared" si="160"/>
        <v>4.5768074268812597</v>
      </c>
      <c r="W1134" s="183"/>
      <c r="X1134" s="183"/>
      <c r="Y1134" s="64" t="e">
        <f t="shared" si="161"/>
        <v>#N/A</v>
      </c>
      <c r="AA1134" s="64" t="e">
        <f t="shared" si="162"/>
        <v>#N/A</v>
      </c>
      <c r="AH1134" s="64" t="e">
        <f t="shared" si="163"/>
        <v>#N/A</v>
      </c>
      <c r="AS1134" s="64" t="e">
        <f t="shared" si="164"/>
        <v>#N/A</v>
      </c>
    </row>
    <row r="1135" spans="1:194" s="20" customFormat="1" ht="36" customHeight="1" x14ac:dyDescent="0.9">
      <c r="A1135" s="64">
        <v>1</v>
      </c>
      <c r="B1135" s="92">
        <f>SUBTOTAL(103,$A$942:A1135)</f>
        <v>166</v>
      </c>
      <c r="C1135" s="116" t="s">
        <v>818</v>
      </c>
      <c r="D1135" s="126">
        <v>1980</v>
      </c>
      <c r="E1135" s="126"/>
      <c r="F1135" s="147" t="s">
        <v>273</v>
      </c>
      <c r="G1135" s="126">
        <v>2</v>
      </c>
      <c r="H1135" s="126">
        <v>3</v>
      </c>
      <c r="I1135" s="117">
        <v>1217.2</v>
      </c>
      <c r="J1135" s="117">
        <v>862.2</v>
      </c>
      <c r="K1135" s="117">
        <v>862.2</v>
      </c>
      <c r="L1135" s="128">
        <v>47</v>
      </c>
      <c r="M1135" s="126" t="s">
        <v>271</v>
      </c>
      <c r="N1135" s="126" t="s">
        <v>349</v>
      </c>
      <c r="O1135" s="126" t="s">
        <v>837</v>
      </c>
      <c r="P1135" s="117">
        <v>1456533.11</v>
      </c>
      <c r="Q1135" s="117">
        <v>0</v>
      </c>
      <c r="R1135" s="117">
        <v>0</v>
      </c>
      <c r="S1135" s="117">
        <f>P1135-Q1135-R1135</f>
        <v>1456533.11</v>
      </c>
      <c r="T1135" s="118">
        <f t="shared" si="167"/>
        <v>1196.6259530069012</v>
      </c>
      <c r="U1135" s="118">
        <f>Y1135</f>
        <v>1201.2027604337825</v>
      </c>
      <c r="V1135" s="183">
        <f t="shared" si="160"/>
        <v>4.5768074268812597</v>
      </c>
      <c r="W1135" s="183"/>
      <c r="X1135" s="183"/>
      <c r="Y1135" s="64">
        <f t="shared" si="161"/>
        <v>1201.2027604337825</v>
      </c>
      <c r="AA1135" s="64">
        <f t="shared" si="162"/>
        <v>280</v>
      </c>
      <c r="AH1135" s="64" t="e">
        <f t="shared" si="163"/>
        <v>#N/A</v>
      </c>
      <c r="AS1135" s="64" t="e">
        <f t="shared" si="164"/>
        <v>#N/A</v>
      </c>
      <c r="DT1135" s="119"/>
      <c r="DU1135" s="119"/>
      <c r="DV1135" s="119"/>
      <c r="EJ1135" s="120"/>
      <c r="ES1135" s="121"/>
      <c r="FV1135" s="122"/>
      <c r="GL1135" s="123"/>
    </row>
    <row r="1136" spans="1:194" s="64" customFormat="1" ht="36" customHeight="1" x14ac:dyDescent="0.9">
      <c r="B1136" s="91" t="s">
        <v>863</v>
      </c>
      <c r="C1136" s="172"/>
      <c r="D1136" s="126" t="s">
        <v>916</v>
      </c>
      <c r="E1136" s="126" t="s">
        <v>916</v>
      </c>
      <c r="F1136" s="126" t="s">
        <v>916</v>
      </c>
      <c r="G1136" s="126" t="s">
        <v>916</v>
      </c>
      <c r="H1136" s="126" t="s">
        <v>916</v>
      </c>
      <c r="I1136" s="117">
        <f>SUM(I1137:I1139)</f>
        <v>1774</v>
      </c>
      <c r="J1136" s="117">
        <f>SUM(J1137:J1139)</f>
        <v>1611</v>
      </c>
      <c r="K1136" s="117">
        <f>SUM(K1137:K1139)</f>
        <v>1526</v>
      </c>
      <c r="L1136" s="127">
        <f>SUM(L1137:L1139)</f>
        <v>80</v>
      </c>
      <c r="M1136" s="126" t="s">
        <v>916</v>
      </c>
      <c r="N1136" s="126" t="s">
        <v>916</v>
      </c>
      <c r="O1136" s="124" t="s">
        <v>916</v>
      </c>
      <c r="P1136" s="118">
        <v>10290828.25</v>
      </c>
      <c r="Q1136" s="118">
        <f>Q1137+Q1138+Q1139</f>
        <v>0</v>
      </c>
      <c r="R1136" s="118">
        <f>R1137+R1138+R1139</f>
        <v>0</v>
      </c>
      <c r="S1136" s="118">
        <f>S1137+S1138+S1139</f>
        <v>10290828.25</v>
      </c>
      <c r="T1136" s="118">
        <f t="shared" si="167"/>
        <v>5800.9178410372042</v>
      </c>
      <c r="U1136" s="118">
        <f>MAX(U1137:U1139)</f>
        <v>8509.8320138545278</v>
      </c>
      <c r="V1136" s="183">
        <f t="shared" si="160"/>
        <v>2708.9141728173236</v>
      </c>
      <c r="W1136" s="183"/>
      <c r="X1136" s="183"/>
      <c r="Y1136" s="64" t="e">
        <f t="shared" si="161"/>
        <v>#N/A</v>
      </c>
      <c r="AA1136" s="64" t="e">
        <f t="shared" si="162"/>
        <v>#N/A</v>
      </c>
      <c r="AH1136" s="64" t="e">
        <f t="shared" si="163"/>
        <v>#N/A</v>
      </c>
      <c r="AS1136" s="64" t="e">
        <f t="shared" si="164"/>
        <v>#N/A</v>
      </c>
    </row>
    <row r="1137" spans="1:194" s="20" customFormat="1" ht="36" customHeight="1" x14ac:dyDescent="0.9">
      <c r="A1137" s="64">
        <v>1</v>
      </c>
      <c r="B1137" s="92">
        <f>SUBTOTAL(103,$A$942:A1137)</f>
        <v>167</v>
      </c>
      <c r="C1137" s="116" t="s">
        <v>86</v>
      </c>
      <c r="D1137" s="126">
        <v>1952</v>
      </c>
      <c r="E1137" s="126"/>
      <c r="F1137" s="147" t="s">
        <v>273</v>
      </c>
      <c r="G1137" s="126">
        <v>2</v>
      </c>
      <c r="H1137" s="126">
        <v>2</v>
      </c>
      <c r="I1137" s="117">
        <v>744</v>
      </c>
      <c r="J1137" s="117">
        <v>670</v>
      </c>
      <c r="K1137" s="117">
        <v>617</v>
      </c>
      <c r="L1137" s="128">
        <v>23</v>
      </c>
      <c r="M1137" s="126" t="s">
        <v>271</v>
      </c>
      <c r="N1137" s="126" t="s">
        <v>272</v>
      </c>
      <c r="O1137" s="126" t="s">
        <v>274</v>
      </c>
      <c r="P1137" s="117">
        <v>3665226.5</v>
      </c>
      <c r="Q1137" s="117">
        <v>0</v>
      </c>
      <c r="R1137" s="117">
        <v>0</v>
      </c>
      <c r="S1137" s="117">
        <f>P1137-Q1137-R1137</f>
        <v>3665226.5</v>
      </c>
      <c r="T1137" s="118">
        <f t="shared" si="167"/>
        <v>4926.3797043010754</v>
      </c>
      <c r="U1137" s="118">
        <f>T1137</f>
        <v>4926.3797043010754</v>
      </c>
      <c r="V1137" s="183">
        <f t="shared" si="160"/>
        <v>0</v>
      </c>
      <c r="W1137" s="183"/>
      <c r="X1137" s="183"/>
      <c r="Y1137" s="64">
        <f t="shared" si="161"/>
        <v>4562.0564516129034</v>
      </c>
      <c r="AA1137" s="64">
        <f t="shared" si="162"/>
        <v>650</v>
      </c>
      <c r="AH1137" s="64" t="e">
        <f t="shared" si="163"/>
        <v>#N/A</v>
      </c>
      <c r="AS1137" s="64" t="e">
        <f t="shared" si="164"/>
        <v>#N/A</v>
      </c>
      <c r="DT1137" s="119"/>
      <c r="DU1137" s="119"/>
      <c r="DV1137" s="119"/>
      <c r="EJ1137" s="120"/>
      <c r="ES1137" s="121"/>
      <c r="FV1137" s="122"/>
      <c r="GL1137" s="123"/>
    </row>
    <row r="1138" spans="1:194" s="20" customFormat="1" ht="36" customHeight="1" x14ac:dyDescent="0.9">
      <c r="A1138" s="64">
        <v>1</v>
      </c>
      <c r="B1138" s="92">
        <f>SUBTOTAL(103,$A$942:A1138)</f>
        <v>168</v>
      </c>
      <c r="C1138" s="116" t="s">
        <v>87</v>
      </c>
      <c r="D1138" s="126">
        <v>1951</v>
      </c>
      <c r="E1138" s="126"/>
      <c r="F1138" s="147" t="s">
        <v>273</v>
      </c>
      <c r="G1138" s="126">
        <v>2</v>
      </c>
      <c r="H1138" s="126">
        <v>2</v>
      </c>
      <c r="I1138" s="117">
        <v>625.79999999999995</v>
      </c>
      <c r="J1138" s="117">
        <v>578</v>
      </c>
      <c r="K1138" s="117">
        <v>546</v>
      </c>
      <c r="L1138" s="128">
        <v>42</v>
      </c>
      <c r="M1138" s="126" t="s">
        <v>271</v>
      </c>
      <c r="N1138" s="126" t="s">
        <v>272</v>
      </c>
      <c r="O1138" s="126" t="s">
        <v>274</v>
      </c>
      <c r="P1138" s="117">
        <v>3185927.6500000004</v>
      </c>
      <c r="Q1138" s="117">
        <v>0</v>
      </c>
      <c r="R1138" s="117">
        <v>0</v>
      </c>
      <c r="S1138" s="117">
        <f>P1138-Q1138-R1138</f>
        <v>3185927.6500000004</v>
      </c>
      <c r="T1138" s="118">
        <f t="shared" si="167"/>
        <v>5090.9678012144468</v>
      </c>
      <c r="U1138" s="118">
        <f>T1138</f>
        <v>5090.9678012144468</v>
      </c>
      <c r="V1138" s="183">
        <f t="shared" si="160"/>
        <v>0</v>
      </c>
      <c r="W1138" s="183"/>
      <c r="X1138" s="183"/>
      <c r="Y1138" s="64">
        <f t="shared" si="161"/>
        <v>4714.4726749760312</v>
      </c>
      <c r="AA1138" s="64">
        <f t="shared" si="162"/>
        <v>565</v>
      </c>
      <c r="AH1138" s="64" t="e">
        <f t="shared" si="163"/>
        <v>#N/A</v>
      </c>
      <c r="AS1138" s="64" t="e">
        <f t="shared" si="164"/>
        <v>#N/A</v>
      </c>
      <c r="DT1138" s="119"/>
      <c r="DU1138" s="119"/>
      <c r="DV1138" s="119"/>
      <c r="EJ1138" s="120"/>
      <c r="ES1138" s="121"/>
      <c r="FV1138" s="122"/>
      <c r="GL1138" s="123"/>
    </row>
    <row r="1139" spans="1:194" s="20" customFormat="1" ht="36" customHeight="1" x14ac:dyDescent="0.9">
      <c r="A1139" s="64">
        <v>1</v>
      </c>
      <c r="B1139" s="92">
        <f>SUBTOTAL(103,$A$942:A1139)</f>
        <v>169</v>
      </c>
      <c r="C1139" s="116" t="s">
        <v>85</v>
      </c>
      <c r="D1139" s="126">
        <v>1951</v>
      </c>
      <c r="E1139" s="126"/>
      <c r="F1139" s="147" t="s">
        <v>273</v>
      </c>
      <c r="G1139" s="126">
        <v>2</v>
      </c>
      <c r="H1139" s="126">
        <v>2</v>
      </c>
      <c r="I1139" s="117">
        <v>404.2</v>
      </c>
      <c r="J1139" s="117">
        <v>363</v>
      </c>
      <c r="K1139" s="117">
        <v>363</v>
      </c>
      <c r="L1139" s="128">
        <v>15</v>
      </c>
      <c r="M1139" s="126" t="s">
        <v>271</v>
      </c>
      <c r="N1139" s="126" t="s">
        <v>272</v>
      </c>
      <c r="O1139" s="126" t="s">
        <v>274</v>
      </c>
      <c r="P1139" s="117">
        <v>3439674.1</v>
      </c>
      <c r="Q1139" s="117">
        <v>0</v>
      </c>
      <c r="R1139" s="117">
        <v>0</v>
      </c>
      <c r="S1139" s="117">
        <f>P1139-Q1139-R1139</f>
        <v>3439674.1</v>
      </c>
      <c r="T1139" s="118">
        <f t="shared" si="167"/>
        <v>8509.8320138545278</v>
      </c>
      <c r="U1139" s="118">
        <f>T1139</f>
        <v>8509.8320138545278</v>
      </c>
      <c r="V1139" s="183">
        <f t="shared" si="160"/>
        <v>0</v>
      </c>
      <c r="W1139" s="183"/>
      <c r="X1139" s="183"/>
      <c r="Y1139" s="64">
        <f t="shared" si="161"/>
        <v>7880.4997525977242</v>
      </c>
      <c r="AA1139" s="64">
        <f t="shared" si="162"/>
        <v>610</v>
      </c>
      <c r="AH1139" s="64" t="e">
        <f t="shared" si="163"/>
        <v>#N/A</v>
      </c>
      <c r="AS1139" s="64" t="e">
        <f t="shared" si="164"/>
        <v>#N/A</v>
      </c>
      <c r="DT1139" s="119"/>
      <c r="DU1139" s="119"/>
      <c r="DV1139" s="119"/>
      <c r="EJ1139" s="120"/>
      <c r="ES1139" s="121"/>
      <c r="FV1139" s="122"/>
      <c r="GL1139" s="123"/>
    </row>
    <row r="1140" spans="1:194" s="64" customFormat="1" ht="36" customHeight="1" x14ac:dyDescent="0.9">
      <c r="B1140" s="91" t="s">
        <v>864</v>
      </c>
      <c r="C1140" s="91"/>
      <c r="D1140" s="126" t="s">
        <v>916</v>
      </c>
      <c r="E1140" s="126" t="s">
        <v>916</v>
      </c>
      <c r="F1140" s="126" t="s">
        <v>916</v>
      </c>
      <c r="G1140" s="126" t="s">
        <v>916</v>
      </c>
      <c r="H1140" s="126" t="s">
        <v>916</v>
      </c>
      <c r="I1140" s="117">
        <f>I1141</f>
        <v>609</v>
      </c>
      <c r="J1140" s="117">
        <f>J1141</f>
        <v>609</v>
      </c>
      <c r="K1140" s="117">
        <f>K1141</f>
        <v>579</v>
      </c>
      <c r="L1140" s="127">
        <f>L1141</f>
        <v>31</v>
      </c>
      <c r="M1140" s="126" t="s">
        <v>916</v>
      </c>
      <c r="N1140" s="126" t="s">
        <v>916</v>
      </c>
      <c r="O1140" s="124" t="s">
        <v>916</v>
      </c>
      <c r="P1140" s="118">
        <v>3013803.8600000003</v>
      </c>
      <c r="Q1140" s="118">
        <f>Q1141</f>
        <v>0</v>
      </c>
      <c r="R1140" s="118">
        <f>R1141</f>
        <v>0</v>
      </c>
      <c r="S1140" s="118">
        <f>S1141</f>
        <v>3013803.8600000003</v>
      </c>
      <c r="T1140" s="118">
        <f t="shared" si="167"/>
        <v>4948.7748111658466</v>
      </c>
      <c r="U1140" s="118">
        <f>U1141</f>
        <v>5024.5891625615768</v>
      </c>
      <c r="V1140" s="183">
        <f t="shared" si="160"/>
        <v>75.814351395730228</v>
      </c>
      <c r="W1140" s="183"/>
      <c r="X1140" s="183"/>
      <c r="Y1140" s="64" t="e">
        <f t="shared" si="161"/>
        <v>#N/A</v>
      </c>
      <c r="AA1140" s="64" t="e">
        <f t="shared" si="162"/>
        <v>#N/A</v>
      </c>
      <c r="AH1140" s="64" t="e">
        <f t="shared" si="163"/>
        <v>#N/A</v>
      </c>
      <c r="AS1140" s="64" t="e">
        <f t="shared" si="164"/>
        <v>#N/A</v>
      </c>
    </row>
    <row r="1141" spans="1:194" s="20" customFormat="1" ht="36" customHeight="1" x14ac:dyDescent="0.9">
      <c r="A1141" s="64">
        <v>1</v>
      </c>
      <c r="B1141" s="92">
        <f>SUBTOTAL(103,$A$942:A1141)</f>
        <v>170</v>
      </c>
      <c r="C1141" s="116" t="s">
        <v>89</v>
      </c>
      <c r="D1141" s="126">
        <v>1967</v>
      </c>
      <c r="E1141" s="126"/>
      <c r="F1141" s="147" t="s">
        <v>273</v>
      </c>
      <c r="G1141" s="126">
        <v>2</v>
      </c>
      <c r="H1141" s="126">
        <v>2</v>
      </c>
      <c r="I1141" s="117">
        <v>609</v>
      </c>
      <c r="J1141" s="117">
        <v>609</v>
      </c>
      <c r="K1141" s="117">
        <v>579</v>
      </c>
      <c r="L1141" s="128">
        <v>31</v>
      </c>
      <c r="M1141" s="126" t="s">
        <v>271</v>
      </c>
      <c r="N1141" s="126" t="s">
        <v>272</v>
      </c>
      <c r="O1141" s="126" t="s">
        <v>274</v>
      </c>
      <c r="P1141" s="117">
        <v>3013803.8600000003</v>
      </c>
      <c r="Q1141" s="117">
        <v>0</v>
      </c>
      <c r="R1141" s="117">
        <v>0</v>
      </c>
      <c r="S1141" s="117">
        <f>P1141-Q1141-R1141</f>
        <v>3013803.8600000003</v>
      </c>
      <c r="T1141" s="118">
        <f t="shared" si="167"/>
        <v>4948.7748111658466</v>
      </c>
      <c r="U1141" s="118">
        <f>Y1141</f>
        <v>5024.5891625615768</v>
      </c>
      <c r="V1141" s="183">
        <f t="shared" si="160"/>
        <v>75.814351395730228</v>
      </c>
      <c r="W1141" s="183"/>
      <c r="X1141" s="183"/>
      <c r="Y1141" s="64">
        <f t="shared" si="161"/>
        <v>5024.5891625615768</v>
      </c>
      <c r="AA1141" s="64">
        <f t="shared" si="162"/>
        <v>586</v>
      </c>
      <c r="AH1141" s="64" t="e">
        <f t="shared" si="163"/>
        <v>#N/A</v>
      </c>
      <c r="AS1141" s="64" t="e">
        <f t="shared" si="164"/>
        <v>#N/A</v>
      </c>
      <c r="DT1141" s="119"/>
      <c r="DU1141" s="119"/>
      <c r="DV1141" s="119"/>
      <c r="EJ1141" s="120"/>
      <c r="ES1141" s="121"/>
      <c r="FV1141" s="122"/>
      <c r="GL1141" s="123"/>
    </row>
    <row r="1142" spans="1:194" s="64" customFormat="1" ht="36" customHeight="1" x14ac:dyDescent="0.9">
      <c r="B1142" s="91" t="s">
        <v>914</v>
      </c>
      <c r="C1142" s="91"/>
      <c r="D1142" s="126" t="s">
        <v>916</v>
      </c>
      <c r="E1142" s="126" t="s">
        <v>916</v>
      </c>
      <c r="F1142" s="126" t="s">
        <v>916</v>
      </c>
      <c r="G1142" s="126" t="s">
        <v>916</v>
      </c>
      <c r="H1142" s="126" t="s">
        <v>916</v>
      </c>
      <c r="I1142" s="117">
        <f>I1143</f>
        <v>616.20000000000005</v>
      </c>
      <c r="J1142" s="117">
        <f>J1143</f>
        <v>315</v>
      </c>
      <c r="K1142" s="117">
        <f>K1143</f>
        <v>315</v>
      </c>
      <c r="L1142" s="127">
        <f>L1143</f>
        <v>21</v>
      </c>
      <c r="M1142" s="126" t="s">
        <v>916</v>
      </c>
      <c r="N1142" s="126" t="s">
        <v>916</v>
      </c>
      <c r="O1142" s="124" t="s">
        <v>916</v>
      </c>
      <c r="P1142" s="118">
        <v>2036502</v>
      </c>
      <c r="Q1142" s="118">
        <f>Q1143</f>
        <v>0</v>
      </c>
      <c r="R1142" s="118">
        <f>R1143</f>
        <v>0</v>
      </c>
      <c r="S1142" s="118">
        <f>S1143</f>
        <v>2036502</v>
      </c>
      <c r="T1142" s="118">
        <f t="shared" si="167"/>
        <v>3304.9367088607592</v>
      </c>
      <c r="U1142" s="118">
        <f>U1143</f>
        <v>3304.9367088607592</v>
      </c>
      <c r="V1142" s="183">
        <f t="shared" si="160"/>
        <v>0</v>
      </c>
      <c r="W1142" s="183"/>
      <c r="X1142" s="183"/>
      <c r="Y1142" s="64" t="e">
        <f t="shared" si="161"/>
        <v>#N/A</v>
      </c>
      <c r="AA1142" s="64" t="e">
        <f t="shared" si="162"/>
        <v>#N/A</v>
      </c>
      <c r="AH1142" s="64" t="e">
        <f t="shared" si="163"/>
        <v>#N/A</v>
      </c>
      <c r="AS1142" s="64" t="e">
        <f t="shared" si="164"/>
        <v>#N/A</v>
      </c>
    </row>
    <row r="1143" spans="1:194" s="20" customFormat="1" ht="36" customHeight="1" x14ac:dyDescent="0.9">
      <c r="A1143" s="64">
        <v>1</v>
      </c>
      <c r="B1143" s="92">
        <f>SUBTOTAL(103,$A$942:A1143)</f>
        <v>171</v>
      </c>
      <c r="C1143" s="116" t="s">
        <v>88</v>
      </c>
      <c r="D1143" s="126">
        <v>1982</v>
      </c>
      <c r="E1143" s="126"/>
      <c r="F1143" s="147" t="s">
        <v>273</v>
      </c>
      <c r="G1143" s="126">
        <v>2</v>
      </c>
      <c r="H1143" s="126">
        <v>2</v>
      </c>
      <c r="I1143" s="117">
        <v>616.20000000000005</v>
      </c>
      <c r="J1143" s="117">
        <v>315</v>
      </c>
      <c r="K1143" s="117">
        <v>315</v>
      </c>
      <c r="L1143" s="128">
        <v>21</v>
      </c>
      <c r="M1143" s="126" t="s">
        <v>271</v>
      </c>
      <c r="N1143" s="126" t="s">
        <v>272</v>
      </c>
      <c r="O1143" s="126" t="s">
        <v>274</v>
      </c>
      <c r="P1143" s="117">
        <v>2036502</v>
      </c>
      <c r="Q1143" s="117">
        <v>0</v>
      </c>
      <c r="R1143" s="117">
        <v>0</v>
      </c>
      <c r="S1143" s="117">
        <f>P1143-Q1143-R1143</f>
        <v>2036502</v>
      </c>
      <c r="T1143" s="118">
        <f t="shared" si="167"/>
        <v>3304.9367088607592</v>
      </c>
      <c r="U1143" s="118">
        <f>Y1143</f>
        <v>3304.9367088607592</v>
      </c>
      <c r="V1143" s="183">
        <f t="shared" si="160"/>
        <v>0</v>
      </c>
      <c r="W1143" s="183"/>
      <c r="X1143" s="183"/>
      <c r="Y1143" s="64">
        <f t="shared" si="161"/>
        <v>3304.9367088607592</v>
      </c>
      <c r="AA1143" s="64">
        <f t="shared" si="162"/>
        <v>390</v>
      </c>
      <c r="AH1143" s="64" t="e">
        <f t="shared" si="163"/>
        <v>#N/A</v>
      </c>
      <c r="AS1143" s="64" t="e">
        <f t="shared" si="164"/>
        <v>#N/A</v>
      </c>
      <c r="DT1143" s="119"/>
      <c r="DU1143" s="119"/>
      <c r="DV1143" s="119"/>
      <c r="EJ1143" s="120"/>
      <c r="ES1143" s="121"/>
      <c r="FV1143" s="122"/>
      <c r="GL1143" s="123"/>
    </row>
    <row r="1144" spans="1:194" s="64" customFormat="1" ht="36" customHeight="1" x14ac:dyDescent="0.9">
      <c r="B1144" s="91" t="s">
        <v>865</v>
      </c>
      <c r="C1144" s="172"/>
      <c r="D1144" s="126" t="s">
        <v>916</v>
      </c>
      <c r="E1144" s="126" t="s">
        <v>916</v>
      </c>
      <c r="F1144" s="126" t="s">
        <v>916</v>
      </c>
      <c r="G1144" s="126" t="s">
        <v>916</v>
      </c>
      <c r="H1144" s="126" t="s">
        <v>916</v>
      </c>
      <c r="I1144" s="117">
        <f>I1145</f>
        <v>772.9</v>
      </c>
      <c r="J1144" s="117">
        <f>J1145</f>
        <v>728.9</v>
      </c>
      <c r="K1144" s="117">
        <f>K1145</f>
        <v>650.20000000000005</v>
      </c>
      <c r="L1144" s="127">
        <f>L1145</f>
        <v>32</v>
      </c>
      <c r="M1144" s="126" t="s">
        <v>916</v>
      </c>
      <c r="N1144" s="126" t="s">
        <v>916</v>
      </c>
      <c r="O1144" s="124" t="s">
        <v>916</v>
      </c>
      <c r="P1144" s="118">
        <v>3592598.4</v>
      </c>
      <c r="Q1144" s="118">
        <f>Q1145</f>
        <v>0</v>
      </c>
      <c r="R1144" s="118">
        <f>R1145</f>
        <v>0</v>
      </c>
      <c r="S1144" s="118">
        <f>S1145</f>
        <v>3592598.4</v>
      </c>
      <c r="T1144" s="118">
        <f t="shared" si="167"/>
        <v>4648.2059774873851</v>
      </c>
      <c r="U1144" s="118">
        <f>U1145</f>
        <v>4648.2059774873851</v>
      </c>
      <c r="V1144" s="183">
        <f t="shared" si="160"/>
        <v>0</v>
      </c>
      <c r="W1144" s="183"/>
      <c r="X1144" s="183"/>
      <c r="Y1144" s="64" t="e">
        <f t="shared" si="161"/>
        <v>#N/A</v>
      </c>
      <c r="AA1144" s="64" t="e">
        <f t="shared" si="162"/>
        <v>#N/A</v>
      </c>
      <c r="AH1144" s="64" t="e">
        <f t="shared" si="163"/>
        <v>#N/A</v>
      </c>
      <c r="AS1144" s="64" t="e">
        <f t="shared" si="164"/>
        <v>#N/A</v>
      </c>
    </row>
    <row r="1145" spans="1:194" s="20" customFormat="1" ht="36" customHeight="1" x14ac:dyDescent="0.9">
      <c r="A1145" s="64">
        <v>1</v>
      </c>
      <c r="B1145" s="92">
        <f>SUBTOTAL(103,$A$942:A1145)</f>
        <v>172</v>
      </c>
      <c r="C1145" s="116" t="s">
        <v>109</v>
      </c>
      <c r="D1145" s="126">
        <v>1971</v>
      </c>
      <c r="E1145" s="126"/>
      <c r="F1145" s="147" t="s">
        <v>273</v>
      </c>
      <c r="G1145" s="126">
        <v>2</v>
      </c>
      <c r="H1145" s="126">
        <v>2</v>
      </c>
      <c r="I1145" s="117">
        <v>772.9</v>
      </c>
      <c r="J1145" s="117">
        <v>728.9</v>
      </c>
      <c r="K1145" s="117">
        <v>650.20000000000005</v>
      </c>
      <c r="L1145" s="128">
        <v>32</v>
      </c>
      <c r="M1145" s="126" t="s">
        <v>271</v>
      </c>
      <c r="N1145" s="126" t="s">
        <v>272</v>
      </c>
      <c r="O1145" s="126" t="s">
        <v>274</v>
      </c>
      <c r="P1145" s="117">
        <v>3592598.4</v>
      </c>
      <c r="Q1145" s="117">
        <v>0</v>
      </c>
      <c r="R1145" s="117">
        <v>0</v>
      </c>
      <c r="S1145" s="117">
        <f>P1145-Q1145-R1145</f>
        <v>3592598.4</v>
      </c>
      <c r="T1145" s="118">
        <f t="shared" si="167"/>
        <v>4648.2059774873851</v>
      </c>
      <c r="U1145" s="118">
        <f>Y1145</f>
        <v>4648.2059774873851</v>
      </c>
      <c r="V1145" s="183">
        <f t="shared" si="160"/>
        <v>0</v>
      </c>
      <c r="W1145" s="183"/>
      <c r="X1145" s="183"/>
      <c r="Y1145" s="64">
        <f t="shared" si="161"/>
        <v>4648.2059774873851</v>
      </c>
      <c r="AA1145" s="64">
        <f t="shared" si="162"/>
        <v>688</v>
      </c>
      <c r="AH1145" s="64" t="e">
        <f t="shared" si="163"/>
        <v>#N/A</v>
      </c>
      <c r="AS1145" s="64" t="e">
        <f t="shared" si="164"/>
        <v>#N/A</v>
      </c>
      <c r="DT1145" s="119"/>
      <c r="DU1145" s="119"/>
      <c r="DV1145" s="119"/>
      <c r="EJ1145" s="120"/>
      <c r="ES1145" s="121"/>
      <c r="FV1145" s="122"/>
      <c r="GL1145" s="123"/>
    </row>
    <row r="1146" spans="1:194" s="64" customFormat="1" ht="36" customHeight="1" x14ac:dyDescent="0.9">
      <c r="B1146" s="91" t="s">
        <v>900</v>
      </c>
      <c r="C1146" s="91"/>
      <c r="D1146" s="126" t="s">
        <v>916</v>
      </c>
      <c r="E1146" s="126" t="s">
        <v>916</v>
      </c>
      <c r="F1146" s="126" t="s">
        <v>916</v>
      </c>
      <c r="G1146" s="126" t="s">
        <v>916</v>
      </c>
      <c r="H1146" s="126" t="s">
        <v>916</v>
      </c>
      <c r="I1146" s="117">
        <f>I1147</f>
        <v>976.3</v>
      </c>
      <c r="J1146" s="117">
        <f>J1147</f>
        <v>880.1</v>
      </c>
      <c r="K1146" s="117">
        <f>K1147</f>
        <v>880.1</v>
      </c>
      <c r="L1146" s="127">
        <f>L1147</f>
        <v>36</v>
      </c>
      <c r="M1146" s="126" t="s">
        <v>916</v>
      </c>
      <c r="N1146" s="126" t="s">
        <v>916</v>
      </c>
      <c r="O1146" s="124" t="s">
        <v>916</v>
      </c>
      <c r="P1146" s="118">
        <v>4454195.3999999994</v>
      </c>
      <c r="Q1146" s="118">
        <f>Q1147</f>
        <v>0</v>
      </c>
      <c r="R1146" s="118">
        <f>R1147</f>
        <v>0</v>
      </c>
      <c r="S1146" s="118">
        <f>S1147</f>
        <v>4454195.3999999994</v>
      </c>
      <c r="T1146" s="118">
        <f t="shared" si="167"/>
        <v>4562.3224418723748</v>
      </c>
      <c r="U1146" s="118">
        <f>U1147</f>
        <v>4562.3224418723757</v>
      </c>
      <c r="V1146" s="183">
        <f t="shared" si="160"/>
        <v>0</v>
      </c>
      <c r="W1146" s="183"/>
      <c r="X1146" s="183"/>
      <c r="Y1146" s="64" t="e">
        <f t="shared" si="161"/>
        <v>#N/A</v>
      </c>
      <c r="AA1146" s="64" t="e">
        <f t="shared" si="162"/>
        <v>#N/A</v>
      </c>
      <c r="AH1146" s="64" t="e">
        <f t="shared" si="163"/>
        <v>#N/A</v>
      </c>
      <c r="AS1146" s="64" t="e">
        <f t="shared" si="164"/>
        <v>#N/A</v>
      </c>
    </row>
    <row r="1147" spans="1:194" s="20" customFormat="1" ht="36" customHeight="1" x14ac:dyDescent="0.9">
      <c r="A1147" s="64">
        <v>1</v>
      </c>
      <c r="B1147" s="92">
        <f>SUBTOTAL(103,$A$942:A1147)</f>
        <v>173</v>
      </c>
      <c r="C1147" s="116" t="s">
        <v>111</v>
      </c>
      <c r="D1147" s="126">
        <v>1987</v>
      </c>
      <c r="E1147" s="126"/>
      <c r="F1147" s="147" t="s">
        <v>273</v>
      </c>
      <c r="G1147" s="126">
        <v>2</v>
      </c>
      <c r="H1147" s="126">
        <v>3</v>
      </c>
      <c r="I1147" s="117">
        <v>976.3</v>
      </c>
      <c r="J1147" s="117">
        <v>880.1</v>
      </c>
      <c r="K1147" s="117">
        <v>880.1</v>
      </c>
      <c r="L1147" s="128">
        <v>36</v>
      </c>
      <c r="M1147" s="126" t="s">
        <v>271</v>
      </c>
      <c r="N1147" s="126" t="s">
        <v>272</v>
      </c>
      <c r="O1147" s="126" t="s">
        <v>274</v>
      </c>
      <c r="P1147" s="117">
        <v>4454195.3999999994</v>
      </c>
      <c r="Q1147" s="117">
        <v>0</v>
      </c>
      <c r="R1147" s="117">
        <v>0</v>
      </c>
      <c r="S1147" s="117">
        <f>P1147-Q1147-R1147</f>
        <v>4454195.3999999994</v>
      </c>
      <c r="T1147" s="118">
        <f t="shared" si="167"/>
        <v>4562.3224418723748</v>
      </c>
      <c r="U1147" s="118">
        <f>Y1147</f>
        <v>4562.3224418723757</v>
      </c>
      <c r="V1147" s="183">
        <f t="shared" si="160"/>
        <v>0</v>
      </c>
      <c r="W1147" s="183"/>
      <c r="X1147" s="183"/>
      <c r="Y1147" s="64">
        <f t="shared" si="161"/>
        <v>4562.3224418723757</v>
      </c>
      <c r="AA1147" s="64">
        <f t="shared" si="162"/>
        <v>853</v>
      </c>
      <c r="AH1147" s="64" t="e">
        <f t="shared" si="163"/>
        <v>#N/A</v>
      </c>
      <c r="AS1147" s="64" t="e">
        <f t="shared" si="164"/>
        <v>#N/A</v>
      </c>
      <c r="DT1147" s="119"/>
      <c r="DU1147" s="119"/>
      <c r="DV1147" s="119"/>
      <c r="EJ1147" s="120"/>
      <c r="ES1147" s="121"/>
      <c r="FV1147" s="122"/>
      <c r="GL1147" s="123"/>
    </row>
    <row r="1148" spans="1:194" s="64" customFormat="1" ht="36" customHeight="1" x14ac:dyDescent="0.9">
      <c r="B1148" s="91" t="s">
        <v>915</v>
      </c>
      <c r="C1148" s="172"/>
      <c r="D1148" s="126" t="s">
        <v>916</v>
      </c>
      <c r="E1148" s="126" t="s">
        <v>916</v>
      </c>
      <c r="F1148" s="126" t="s">
        <v>916</v>
      </c>
      <c r="G1148" s="126" t="s">
        <v>916</v>
      </c>
      <c r="H1148" s="126" t="s">
        <v>916</v>
      </c>
      <c r="I1148" s="117">
        <f>I1149</f>
        <v>781.7</v>
      </c>
      <c r="J1148" s="117">
        <f>J1149</f>
        <v>722.5</v>
      </c>
      <c r="K1148" s="117">
        <f>K1149</f>
        <v>505.6</v>
      </c>
      <c r="L1148" s="127">
        <f>L1149</f>
        <v>25</v>
      </c>
      <c r="M1148" s="126" t="s">
        <v>916</v>
      </c>
      <c r="N1148" s="126" t="s">
        <v>916</v>
      </c>
      <c r="O1148" s="124" t="s">
        <v>916</v>
      </c>
      <c r="P1148" s="118">
        <v>4839701.7600000007</v>
      </c>
      <c r="Q1148" s="118">
        <f>Q1149</f>
        <v>0</v>
      </c>
      <c r="R1148" s="118">
        <f>R1149</f>
        <v>0</v>
      </c>
      <c r="S1148" s="118">
        <f>S1149</f>
        <v>4839701.7600000007</v>
      </c>
      <c r="T1148" s="118">
        <f t="shared" si="167"/>
        <v>6191.2520915952418</v>
      </c>
      <c r="U1148" s="118">
        <f>U1149</f>
        <v>6191.2765690162469</v>
      </c>
      <c r="V1148" s="183">
        <f t="shared" si="160"/>
        <v>2.4477421005030919E-2</v>
      </c>
      <c r="W1148" s="183"/>
      <c r="X1148" s="183"/>
      <c r="Y1148" s="64" t="e">
        <f t="shared" si="161"/>
        <v>#N/A</v>
      </c>
      <c r="AA1148" s="64" t="e">
        <f t="shared" si="162"/>
        <v>#N/A</v>
      </c>
      <c r="AH1148" s="64" t="e">
        <f t="shared" si="163"/>
        <v>#N/A</v>
      </c>
      <c r="AS1148" s="64" t="e">
        <f t="shared" si="164"/>
        <v>#N/A</v>
      </c>
    </row>
    <row r="1149" spans="1:194" s="20" customFormat="1" ht="36" customHeight="1" x14ac:dyDescent="0.9">
      <c r="A1149" s="64">
        <v>1</v>
      </c>
      <c r="B1149" s="92">
        <f>SUBTOTAL(103,$A$942:A1149)</f>
        <v>174</v>
      </c>
      <c r="C1149" s="116" t="s">
        <v>215</v>
      </c>
      <c r="D1149" s="126">
        <v>1968</v>
      </c>
      <c r="E1149" s="126"/>
      <c r="F1149" s="147" t="s">
        <v>273</v>
      </c>
      <c r="G1149" s="126">
        <v>2</v>
      </c>
      <c r="H1149" s="126">
        <v>2</v>
      </c>
      <c r="I1149" s="117">
        <v>781.7</v>
      </c>
      <c r="J1149" s="117">
        <v>722.5</v>
      </c>
      <c r="K1149" s="117">
        <v>505.6</v>
      </c>
      <c r="L1149" s="128">
        <v>25</v>
      </c>
      <c r="M1149" s="126" t="s">
        <v>271</v>
      </c>
      <c r="N1149" s="126" t="s">
        <v>275</v>
      </c>
      <c r="O1149" s="126" t="s">
        <v>339</v>
      </c>
      <c r="P1149" s="117">
        <v>4839701.7600000007</v>
      </c>
      <c r="Q1149" s="117">
        <v>0</v>
      </c>
      <c r="R1149" s="117">
        <v>0</v>
      </c>
      <c r="S1149" s="117">
        <f>P1149-Q1149-R1149</f>
        <v>4839701.7600000007</v>
      </c>
      <c r="T1149" s="118">
        <f t="shared" si="167"/>
        <v>6191.2520915952418</v>
      </c>
      <c r="U1149" s="118">
        <f>Y1149</f>
        <v>6191.2765690162469</v>
      </c>
      <c r="V1149" s="183">
        <f t="shared" si="160"/>
        <v>2.4477421005030919E-2</v>
      </c>
      <c r="W1149" s="183"/>
      <c r="X1149" s="183"/>
      <c r="Y1149" s="64">
        <f t="shared" si="161"/>
        <v>6191.2765690162469</v>
      </c>
      <c r="AA1149" s="64">
        <f t="shared" si="162"/>
        <v>926.83</v>
      </c>
      <c r="AH1149" s="64" t="e">
        <f t="shared" si="163"/>
        <v>#N/A</v>
      </c>
      <c r="AS1149" s="64" t="e">
        <f t="shared" si="164"/>
        <v>#N/A</v>
      </c>
      <c r="DT1149" s="119"/>
      <c r="DU1149" s="119"/>
      <c r="DV1149" s="119"/>
      <c r="EJ1149" s="120"/>
      <c r="ES1149" s="121"/>
      <c r="FV1149" s="122"/>
      <c r="GL1149" s="123"/>
    </row>
    <row r="1150" spans="1:194" s="64" customFormat="1" ht="36" customHeight="1" x14ac:dyDescent="0.9">
      <c r="B1150" s="91" t="s">
        <v>866</v>
      </c>
      <c r="C1150" s="172"/>
      <c r="D1150" s="126" t="s">
        <v>916</v>
      </c>
      <c r="E1150" s="126" t="s">
        <v>916</v>
      </c>
      <c r="F1150" s="126" t="s">
        <v>916</v>
      </c>
      <c r="G1150" s="126" t="s">
        <v>916</v>
      </c>
      <c r="H1150" s="126" t="s">
        <v>916</v>
      </c>
      <c r="I1150" s="117">
        <f>I1151</f>
        <v>736.7</v>
      </c>
      <c r="J1150" s="117">
        <f>J1151</f>
        <v>736.7</v>
      </c>
      <c r="K1150" s="117">
        <f>K1151</f>
        <v>450.8</v>
      </c>
      <c r="L1150" s="127">
        <f>L1151</f>
        <v>42</v>
      </c>
      <c r="M1150" s="126" t="s">
        <v>916</v>
      </c>
      <c r="N1150" s="126" t="s">
        <v>916</v>
      </c>
      <c r="O1150" s="124" t="s">
        <v>916</v>
      </c>
      <c r="P1150" s="118">
        <v>3231458.3</v>
      </c>
      <c r="Q1150" s="118">
        <f>Q1151</f>
        <v>0</v>
      </c>
      <c r="R1150" s="118">
        <f>R1151</f>
        <v>1851570.68</v>
      </c>
      <c r="S1150" s="118">
        <f>S1151</f>
        <v>1379887.6199999999</v>
      </c>
      <c r="T1150" s="118">
        <f t="shared" si="167"/>
        <v>4386.3964978960221</v>
      </c>
      <c r="U1150" s="118">
        <f>U1151</f>
        <v>4754.6945025111982</v>
      </c>
      <c r="V1150" s="183">
        <f t="shared" si="160"/>
        <v>368.29800461517607</v>
      </c>
      <c r="W1150" s="183"/>
      <c r="X1150" s="183"/>
      <c r="Y1150" s="64" t="e">
        <f t="shared" si="161"/>
        <v>#N/A</v>
      </c>
      <c r="AA1150" s="64" t="e">
        <f t="shared" si="162"/>
        <v>#N/A</v>
      </c>
      <c r="AH1150" s="64" t="e">
        <f t="shared" si="163"/>
        <v>#N/A</v>
      </c>
      <c r="AS1150" s="64" t="e">
        <f t="shared" si="164"/>
        <v>#N/A</v>
      </c>
    </row>
    <row r="1151" spans="1:194" s="20" customFormat="1" ht="36" customHeight="1" x14ac:dyDescent="0.9">
      <c r="A1151" s="64">
        <v>1</v>
      </c>
      <c r="B1151" s="92">
        <f>SUBTOTAL(103,$A$942:A1151)</f>
        <v>175</v>
      </c>
      <c r="C1151" s="116" t="s">
        <v>66</v>
      </c>
      <c r="D1151" s="126">
        <v>1978</v>
      </c>
      <c r="E1151" s="126"/>
      <c r="F1151" s="147" t="s">
        <v>273</v>
      </c>
      <c r="G1151" s="126">
        <v>2</v>
      </c>
      <c r="H1151" s="126">
        <v>2</v>
      </c>
      <c r="I1151" s="117">
        <v>736.7</v>
      </c>
      <c r="J1151" s="117">
        <v>736.7</v>
      </c>
      <c r="K1151" s="117">
        <v>450.8</v>
      </c>
      <c r="L1151" s="128">
        <v>42</v>
      </c>
      <c r="M1151" s="126" t="s">
        <v>271</v>
      </c>
      <c r="N1151" s="126" t="s">
        <v>272</v>
      </c>
      <c r="O1151" s="126" t="s">
        <v>274</v>
      </c>
      <c r="P1151" s="117">
        <v>3231458.3</v>
      </c>
      <c r="Q1151" s="117">
        <v>0</v>
      </c>
      <c r="R1151" s="117">
        <v>1851570.68</v>
      </c>
      <c r="S1151" s="117">
        <f>P1151-Q1151-R1151</f>
        <v>1379887.6199999999</v>
      </c>
      <c r="T1151" s="118">
        <f t="shared" si="167"/>
        <v>4386.3964978960221</v>
      </c>
      <c r="U1151" s="118">
        <f>Y1151</f>
        <v>4754.6945025111982</v>
      </c>
      <c r="V1151" s="183">
        <f t="shared" si="160"/>
        <v>368.29800461517607</v>
      </c>
      <c r="W1151" s="183"/>
      <c r="X1151" s="183"/>
      <c r="Y1151" s="64">
        <f t="shared" si="161"/>
        <v>4754.6945025111982</v>
      </c>
      <c r="AA1151" s="64">
        <f t="shared" si="162"/>
        <v>670.8</v>
      </c>
      <c r="AH1151" s="64" t="e">
        <f t="shared" si="163"/>
        <v>#N/A</v>
      </c>
      <c r="AS1151" s="64" t="e">
        <f t="shared" si="164"/>
        <v>#N/A</v>
      </c>
      <c r="DT1151" s="119"/>
      <c r="DU1151" s="119"/>
      <c r="DV1151" s="119"/>
      <c r="EJ1151" s="120"/>
      <c r="ES1151" s="121"/>
      <c r="FV1151" s="122"/>
      <c r="GL1151" s="123"/>
    </row>
    <row r="1152" spans="1:194" s="64" customFormat="1" ht="36" customHeight="1" x14ac:dyDescent="0.9">
      <c r="B1152" s="91" t="s">
        <v>868</v>
      </c>
      <c r="C1152" s="91"/>
      <c r="D1152" s="126" t="s">
        <v>916</v>
      </c>
      <c r="E1152" s="126" t="s">
        <v>916</v>
      </c>
      <c r="F1152" s="126" t="s">
        <v>916</v>
      </c>
      <c r="G1152" s="126" t="s">
        <v>916</v>
      </c>
      <c r="H1152" s="126" t="s">
        <v>916</v>
      </c>
      <c r="I1152" s="117">
        <f>SUM(I1153:I1155)</f>
        <v>9352.4</v>
      </c>
      <c r="J1152" s="117">
        <f>SUM(J1153:J1155)</f>
        <v>9253</v>
      </c>
      <c r="K1152" s="117">
        <f>SUM(K1153:K1155)</f>
        <v>9002.2999999999993</v>
      </c>
      <c r="L1152" s="127">
        <f>SUM(L1153:L1155)</f>
        <v>371</v>
      </c>
      <c r="M1152" s="126" t="s">
        <v>916</v>
      </c>
      <c r="N1152" s="126" t="s">
        <v>916</v>
      </c>
      <c r="O1152" s="124" t="s">
        <v>916</v>
      </c>
      <c r="P1152" s="118">
        <v>16849360.93</v>
      </c>
      <c r="Q1152" s="118">
        <f>Q1153+Q1154+Q1155</f>
        <v>0</v>
      </c>
      <c r="R1152" s="118">
        <f>R1153+R1154+R1155</f>
        <v>0</v>
      </c>
      <c r="S1152" s="118">
        <f>S1153+S1154+S1155</f>
        <v>16849360.93</v>
      </c>
      <c r="T1152" s="118">
        <f t="shared" si="167"/>
        <v>1801.6082428039863</v>
      </c>
      <c r="U1152" s="118">
        <f>MAX(U1153:U1155)</f>
        <v>3255.8500000000004</v>
      </c>
      <c r="V1152" s="183">
        <f t="shared" si="160"/>
        <v>1454.2417571960141</v>
      </c>
      <c r="W1152" s="183"/>
      <c r="X1152" s="183"/>
      <c r="Y1152" s="64" t="e">
        <f t="shared" si="161"/>
        <v>#N/A</v>
      </c>
      <c r="AA1152" s="64" t="e">
        <f t="shared" si="162"/>
        <v>#N/A</v>
      </c>
      <c r="AH1152" s="64" t="e">
        <f t="shared" si="163"/>
        <v>#N/A</v>
      </c>
      <c r="AS1152" s="64" t="e">
        <f t="shared" si="164"/>
        <v>#N/A</v>
      </c>
    </row>
    <row r="1153" spans="1:194" s="20" customFormat="1" ht="36" customHeight="1" x14ac:dyDescent="0.9">
      <c r="A1153" s="64">
        <v>1</v>
      </c>
      <c r="B1153" s="92">
        <f>SUBTOTAL(103,$A$942:A1153)</f>
        <v>176</v>
      </c>
      <c r="C1153" s="116" t="s">
        <v>69</v>
      </c>
      <c r="D1153" s="126">
        <v>1977</v>
      </c>
      <c r="E1153" s="126"/>
      <c r="F1153" s="147" t="s">
        <v>273</v>
      </c>
      <c r="G1153" s="126">
        <v>5</v>
      </c>
      <c r="H1153" s="126">
        <v>6</v>
      </c>
      <c r="I1153" s="117">
        <v>4338.6000000000004</v>
      </c>
      <c r="J1153" s="117">
        <v>4331.6000000000004</v>
      </c>
      <c r="K1153" s="117">
        <v>4154.6000000000004</v>
      </c>
      <c r="L1153" s="128">
        <v>174</v>
      </c>
      <c r="M1153" s="126" t="s">
        <v>271</v>
      </c>
      <c r="N1153" s="126" t="s">
        <v>275</v>
      </c>
      <c r="O1153" s="126" t="s">
        <v>277</v>
      </c>
      <c r="P1153" s="117">
        <v>5782944.25</v>
      </c>
      <c r="Q1153" s="117">
        <v>0</v>
      </c>
      <c r="R1153" s="117">
        <v>0</v>
      </c>
      <c r="S1153" s="117">
        <f>P1153-Q1153-R1153</f>
        <v>5782944.25</v>
      </c>
      <c r="T1153" s="118">
        <f t="shared" si="167"/>
        <v>1332.905603189969</v>
      </c>
      <c r="U1153" s="118">
        <f>T1153</f>
        <v>1332.905603189969</v>
      </c>
      <c r="V1153" s="183">
        <f t="shared" si="160"/>
        <v>0</v>
      </c>
      <c r="W1153" s="183"/>
      <c r="X1153" s="183"/>
      <c r="Y1153" s="64">
        <f t="shared" si="161"/>
        <v>1260.8578066657446</v>
      </c>
      <c r="AA1153" s="64">
        <f t="shared" si="162"/>
        <v>1047.5999999999999</v>
      </c>
      <c r="AH1153" s="64" t="e">
        <f t="shared" si="163"/>
        <v>#N/A</v>
      </c>
      <c r="AS1153" s="64" t="e">
        <f t="shared" si="164"/>
        <v>#N/A</v>
      </c>
      <c r="DT1153" s="119"/>
      <c r="DU1153" s="119"/>
      <c r="DV1153" s="119"/>
      <c r="EJ1153" s="120"/>
      <c r="ES1153" s="121"/>
      <c r="FV1153" s="122"/>
      <c r="GL1153" s="123"/>
    </row>
    <row r="1154" spans="1:194" s="20" customFormat="1" ht="36" customHeight="1" x14ac:dyDescent="0.9">
      <c r="A1154" s="64">
        <v>1</v>
      </c>
      <c r="B1154" s="92">
        <f>SUBTOTAL(103,$A$942:A1154)</f>
        <v>177</v>
      </c>
      <c r="C1154" s="116" t="s">
        <v>68</v>
      </c>
      <c r="D1154" s="126">
        <v>1965</v>
      </c>
      <c r="E1154" s="126"/>
      <c r="F1154" s="147" t="s">
        <v>273</v>
      </c>
      <c r="G1154" s="126">
        <v>4</v>
      </c>
      <c r="H1154" s="126">
        <v>4</v>
      </c>
      <c r="I1154" s="117">
        <v>2512.9</v>
      </c>
      <c r="J1154" s="117">
        <v>2463.4</v>
      </c>
      <c r="K1154" s="117">
        <v>2431.4</v>
      </c>
      <c r="L1154" s="128">
        <v>86</v>
      </c>
      <c r="M1154" s="126" t="s">
        <v>271</v>
      </c>
      <c r="N1154" s="126" t="s">
        <v>275</v>
      </c>
      <c r="O1154" s="126" t="s">
        <v>277</v>
      </c>
      <c r="P1154" s="117">
        <v>6823737.3099999996</v>
      </c>
      <c r="Q1154" s="117">
        <v>0</v>
      </c>
      <c r="R1154" s="117">
        <v>0</v>
      </c>
      <c r="S1154" s="117">
        <f>P1154-Q1154-R1154</f>
        <v>6823737.3099999996</v>
      </c>
      <c r="T1154" s="118">
        <f t="shared" si="167"/>
        <v>2715.4830315571648</v>
      </c>
      <c r="U1154" s="118">
        <f>T1154</f>
        <v>2715.4830315571648</v>
      </c>
      <c r="V1154" s="183">
        <f t="shared" si="160"/>
        <v>0</v>
      </c>
      <c r="W1154" s="183"/>
      <c r="X1154" s="183"/>
      <c r="Y1154" s="64">
        <f t="shared" si="161"/>
        <v>2574.4311433005691</v>
      </c>
      <c r="AA1154" s="64">
        <f t="shared" si="162"/>
        <v>1238.9000000000001</v>
      </c>
      <c r="AH1154" s="64" t="e">
        <f t="shared" si="163"/>
        <v>#N/A</v>
      </c>
      <c r="AS1154" s="64" t="e">
        <f t="shared" si="164"/>
        <v>#N/A</v>
      </c>
      <c r="DT1154" s="119"/>
      <c r="DU1154" s="119"/>
      <c r="DV1154" s="119"/>
      <c r="EJ1154" s="120"/>
      <c r="ES1154" s="121"/>
      <c r="FV1154" s="122"/>
      <c r="GL1154" s="123"/>
    </row>
    <row r="1155" spans="1:194" s="20" customFormat="1" ht="36" customHeight="1" x14ac:dyDescent="0.9">
      <c r="A1155" s="64">
        <v>1</v>
      </c>
      <c r="B1155" s="92">
        <f>SUBTOTAL(103,$A$942:A1155)</f>
        <v>178</v>
      </c>
      <c r="C1155" s="116" t="s">
        <v>67</v>
      </c>
      <c r="D1155" s="126">
        <v>1967</v>
      </c>
      <c r="E1155" s="126"/>
      <c r="F1155" s="147" t="s">
        <v>273</v>
      </c>
      <c r="G1155" s="126">
        <v>4</v>
      </c>
      <c r="H1155" s="126">
        <v>4</v>
      </c>
      <c r="I1155" s="117">
        <v>2500.9</v>
      </c>
      <c r="J1155" s="117">
        <v>2458</v>
      </c>
      <c r="K1155" s="117">
        <v>2416.3000000000002</v>
      </c>
      <c r="L1155" s="128">
        <v>111</v>
      </c>
      <c r="M1155" s="126" t="s">
        <v>271</v>
      </c>
      <c r="N1155" s="126" t="s">
        <v>275</v>
      </c>
      <c r="O1155" s="126" t="s">
        <v>277</v>
      </c>
      <c r="P1155" s="117">
        <v>4242679.37</v>
      </c>
      <c r="Q1155" s="117">
        <v>0</v>
      </c>
      <c r="R1155" s="117">
        <v>0</v>
      </c>
      <c r="S1155" s="117">
        <f>P1155-Q1155-R1155</f>
        <v>4242679.37</v>
      </c>
      <c r="T1155" s="118">
        <f t="shared" si="167"/>
        <v>1696.4610220320685</v>
      </c>
      <c r="U1155" s="118">
        <v>3255.8500000000004</v>
      </c>
      <c r="V1155" s="183">
        <f t="shared" si="160"/>
        <v>1559.3889779679319</v>
      </c>
      <c r="W1155" s="183"/>
      <c r="X1155" s="183"/>
      <c r="Y1155" s="64" t="e">
        <f t="shared" si="161"/>
        <v>#N/A</v>
      </c>
      <c r="AA1155" s="64" t="e">
        <f t="shared" si="162"/>
        <v>#N/A</v>
      </c>
      <c r="AH1155" s="64" t="e">
        <f t="shared" si="163"/>
        <v>#N/A</v>
      </c>
      <c r="AS1155" s="64" t="e">
        <f t="shared" si="164"/>
        <v>#N/A</v>
      </c>
      <c r="DT1155" s="119"/>
      <c r="DU1155" s="119"/>
      <c r="DV1155" s="119"/>
      <c r="EJ1155" s="120"/>
      <c r="ES1155" s="121"/>
      <c r="FV1155" s="122"/>
      <c r="GL1155" s="123"/>
    </row>
    <row r="1156" spans="1:194" s="64" customFormat="1" ht="36" customHeight="1" x14ac:dyDescent="0.9">
      <c r="B1156" s="91" t="s">
        <v>869</v>
      </c>
      <c r="C1156" s="91"/>
      <c r="D1156" s="126" t="s">
        <v>916</v>
      </c>
      <c r="E1156" s="126" t="s">
        <v>916</v>
      </c>
      <c r="F1156" s="126" t="s">
        <v>916</v>
      </c>
      <c r="G1156" s="126" t="s">
        <v>916</v>
      </c>
      <c r="H1156" s="126" t="s">
        <v>916</v>
      </c>
      <c r="I1156" s="117">
        <f>I1157</f>
        <v>2168.41</v>
      </c>
      <c r="J1156" s="117">
        <f>J1157</f>
        <v>1286.56</v>
      </c>
      <c r="K1156" s="117">
        <f>K1157</f>
        <v>1251.51</v>
      </c>
      <c r="L1156" s="127">
        <f>L1157</f>
        <v>62</v>
      </c>
      <c r="M1156" s="126" t="s">
        <v>916</v>
      </c>
      <c r="N1156" s="126" t="s">
        <v>916</v>
      </c>
      <c r="O1156" s="124" t="s">
        <v>916</v>
      </c>
      <c r="P1156" s="118">
        <v>3799734.79</v>
      </c>
      <c r="Q1156" s="118">
        <f>Q1157</f>
        <v>0</v>
      </c>
      <c r="R1156" s="118">
        <f>R1157</f>
        <v>0</v>
      </c>
      <c r="S1156" s="118">
        <f>S1157</f>
        <v>3799734.79</v>
      </c>
      <c r="T1156" s="118">
        <f t="shared" si="167"/>
        <v>1752.3138105801027</v>
      </c>
      <c r="U1156" s="118">
        <f>U1157</f>
        <v>2489.503779820237</v>
      </c>
      <c r="V1156" s="183">
        <f t="shared" si="160"/>
        <v>737.18996924013436</v>
      </c>
      <c r="W1156" s="183"/>
      <c r="X1156" s="183"/>
      <c r="Y1156" s="64" t="e">
        <f t="shared" si="161"/>
        <v>#N/A</v>
      </c>
      <c r="AA1156" s="64" t="e">
        <f t="shared" si="162"/>
        <v>#N/A</v>
      </c>
      <c r="AH1156" s="64" t="e">
        <f t="shared" si="163"/>
        <v>#N/A</v>
      </c>
      <c r="AS1156" s="64" t="e">
        <f t="shared" si="164"/>
        <v>#N/A</v>
      </c>
    </row>
    <row r="1157" spans="1:194" s="20" customFormat="1" ht="36" customHeight="1" x14ac:dyDescent="0.9">
      <c r="A1157" s="64">
        <v>1</v>
      </c>
      <c r="B1157" s="92">
        <f>SUBTOTAL(103,$A$942:A1157)</f>
        <v>179</v>
      </c>
      <c r="C1157" s="116" t="s">
        <v>65</v>
      </c>
      <c r="D1157" s="126">
        <v>1954</v>
      </c>
      <c r="E1157" s="126"/>
      <c r="F1157" s="147" t="s">
        <v>273</v>
      </c>
      <c r="G1157" s="126">
        <v>3</v>
      </c>
      <c r="H1157" s="126">
        <v>3</v>
      </c>
      <c r="I1157" s="117">
        <v>2168.41</v>
      </c>
      <c r="J1157" s="117">
        <v>1286.56</v>
      </c>
      <c r="K1157" s="117">
        <v>1251.51</v>
      </c>
      <c r="L1157" s="128">
        <v>62</v>
      </c>
      <c r="M1157" s="126" t="s">
        <v>271</v>
      </c>
      <c r="N1157" s="126" t="s">
        <v>275</v>
      </c>
      <c r="O1157" s="126" t="s">
        <v>278</v>
      </c>
      <c r="P1157" s="117">
        <v>3799734.79</v>
      </c>
      <c r="Q1157" s="117">
        <v>0</v>
      </c>
      <c r="R1157" s="117">
        <v>0</v>
      </c>
      <c r="S1157" s="117">
        <f>P1157-Q1157-R1157</f>
        <v>3799734.79</v>
      </c>
      <c r="T1157" s="118">
        <f t="shared" si="167"/>
        <v>1752.3138105801027</v>
      </c>
      <c r="U1157" s="118">
        <v>2489.503779820237</v>
      </c>
      <c r="V1157" s="183">
        <f t="shared" si="160"/>
        <v>737.18996924013436</v>
      </c>
      <c r="W1157" s="183"/>
      <c r="X1157" s="183"/>
      <c r="Y1157" s="64" t="e">
        <f t="shared" si="161"/>
        <v>#N/A</v>
      </c>
      <c r="AA1157" s="64" t="e">
        <f t="shared" si="162"/>
        <v>#N/A</v>
      </c>
      <c r="AH1157" s="64" t="e">
        <f t="shared" si="163"/>
        <v>#N/A</v>
      </c>
      <c r="AS1157" s="64" t="e">
        <f t="shared" si="164"/>
        <v>#N/A</v>
      </c>
      <c r="DT1157" s="119"/>
      <c r="DU1157" s="119"/>
      <c r="DV1157" s="119"/>
      <c r="EJ1157" s="120"/>
      <c r="ES1157" s="121"/>
      <c r="FV1157" s="122"/>
      <c r="GL1157" s="123"/>
    </row>
    <row r="1158" spans="1:194" s="64" customFormat="1" ht="36" customHeight="1" x14ac:dyDescent="0.9">
      <c r="B1158" s="91" t="s">
        <v>870</v>
      </c>
      <c r="C1158" s="91"/>
      <c r="D1158" s="126" t="s">
        <v>916</v>
      </c>
      <c r="E1158" s="126" t="s">
        <v>916</v>
      </c>
      <c r="F1158" s="126" t="s">
        <v>916</v>
      </c>
      <c r="G1158" s="126" t="s">
        <v>916</v>
      </c>
      <c r="H1158" s="126" t="s">
        <v>916</v>
      </c>
      <c r="I1158" s="117">
        <f>I1159</f>
        <v>780.3</v>
      </c>
      <c r="J1158" s="117">
        <f>J1159</f>
        <v>720.3</v>
      </c>
      <c r="K1158" s="117">
        <f>K1159</f>
        <v>720.3</v>
      </c>
      <c r="L1158" s="127">
        <f>L1159</f>
        <v>24</v>
      </c>
      <c r="M1158" s="126" t="s">
        <v>916</v>
      </c>
      <c r="N1158" s="126" t="s">
        <v>916</v>
      </c>
      <c r="O1158" s="124" t="s">
        <v>916</v>
      </c>
      <c r="P1158" s="118">
        <v>2311215.4500000002</v>
      </c>
      <c r="Q1158" s="118">
        <f>Q1159</f>
        <v>0</v>
      </c>
      <c r="R1158" s="118">
        <f>R1159</f>
        <v>0</v>
      </c>
      <c r="S1158" s="118">
        <f>S1159</f>
        <v>2311215.4500000002</v>
      </c>
      <c r="T1158" s="118">
        <f t="shared" si="167"/>
        <v>2961.9575163398695</v>
      </c>
      <c r="U1158" s="118">
        <f>U1159</f>
        <v>3145.2595155709346</v>
      </c>
      <c r="V1158" s="183">
        <f t="shared" si="160"/>
        <v>183.30199923106511</v>
      </c>
      <c r="W1158" s="183"/>
      <c r="X1158" s="183"/>
      <c r="Y1158" s="64" t="e">
        <f t="shared" si="161"/>
        <v>#N/A</v>
      </c>
      <c r="AA1158" s="64" t="e">
        <f t="shared" si="162"/>
        <v>#N/A</v>
      </c>
      <c r="AH1158" s="64" t="e">
        <f t="shared" si="163"/>
        <v>#N/A</v>
      </c>
      <c r="AS1158" s="64" t="e">
        <f t="shared" si="164"/>
        <v>#N/A</v>
      </c>
    </row>
    <row r="1159" spans="1:194" s="20" customFormat="1" ht="36" customHeight="1" x14ac:dyDescent="0.9">
      <c r="A1159" s="64">
        <v>1</v>
      </c>
      <c r="B1159" s="92">
        <f>SUBTOTAL(103,$A$942:A1159)</f>
        <v>180</v>
      </c>
      <c r="C1159" s="116" t="s">
        <v>64</v>
      </c>
      <c r="D1159" s="126">
        <v>1964</v>
      </c>
      <c r="E1159" s="126"/>
      <c r="F1159" s="147" t="s">
        <v>273</v>
      </c>
      <c r="G1159" s="126">
        <v>2</v>
      </c>
      <c r="H1159" s="126">
        <v>2</v>
      </c>
      <c r="I1159" s="117">
        <v>780.3</v>
      </c>
      <c r="J1159" s="117">
        <v>720.3</v>
      </c>
      <c r="K1159" s="117">
        <v>720.3</v>
      </c>
      <c r="L1159" s="128">
        <v>24</v>
      </c>
      <c r="M1159" s="126" t="s">
        <v>271</v>
      </c>
      <c r="N1159" s="126" t="s">
        <v>275</v>
      </c>
      <c r="O1159" s="126" t="s">
        <v>279</v>
      </c>
      <c r="P1159" s="117">
        <v>2311215.4500000002</v>
      </c>
      <c r="Q1159" s="117">
        <v>0</v>
      </c>
      <c r="R1159" s="117">
        <v>0</v>
      </c>
      <c r="S1159" s="117">
        <f>P1159-Q1159-R1159</f>
        <v>2311215.4500000002</v>
      </c>
      <c r="T1159" s="118">
        <f t="shared" si="167"/>
        <v>2961.9575163398695</v>
      </c>
      <c r="U1159" s="118">
        <f>Y1159</f>
        <v>3145.2595155709346</v>
      </c>
      <c r="V1159" s="183">
        <f t="shared" si="160"/>
        <v>183.30199923106511</v>
      </c>
      <c r="W1159" s="183"/>
      <c r="X1159" s="183"/>
      <c r="Y1159" s="64">
        <f t="shared" si="161"/>
        <v>3145.2595155709346</v>
      </c>
      <c r="AA1159" s="64">
        <f t="shared" si="162"/>
        <v>470</v>
      </c>
      <c r="AH1159" s="64" t="e">
        <f t="shared" si="163"/>
        <v>#N/A</v>
      </c>
      <c r="AS1159" s="64" t="e">
        <f t="shared" si="164"/>
        <v>#N/A</v>
      </c>
      <c r="DT1159" s="119"/>
      <c r="DU1159" s="119"/>
      <c r="DV1159" s="119"/>
      <c r="EJ1159" s="120"/>
      <c r="ES1159" s="121"/>
      <c r="FV1159" s="122"/>
      <c r="GL1159" s="123"/>
    </row>
    <row r="1160" spans="1:194" s="64" customFormat="1" ht="36" customHeight="1" x14ac:dyDescent="0.9">
      <c r="B1160" s="91" t="s">
        <v>909</v>
      </c>
      <c r="C1160" s="91"/>
      <c r="D1160" s="126" t="s">
        <v>916</v>
      </c>
      <c r="E1160" s="126" t="s">
        <v>916</v>
      </c>
      <c r="F1160" s="126" t="s">
        <v>916</v>
      </c>
      <c r="G1160" s="126" t="s">
        <v>916</v>
      </c>
      <c r="H1160" s="126" t="s">
        <v>916</v>
      </c>
      <c r="I1160" s="117">
        <f>I1161</f>
        <v>540.79999999999995</v>
      </c>
      <c r="J1160" s="117">
        <f>J1161</f>
        <v>281.10000000000002</v>
      </c>
      <c r="K1160" s="117">
        <f>K1161</f>
        <v>251.8</v>
      </c>
      <c r="L1160" s="127">
        <f>L1161</f>
        <v>15</v>
      </c>
      <c r="M1160" s="126" t="s">
        <v>916</v>
      </c>
      <c r="N1160" s="126" t="s">
        <v>916</v>
      </c>
      <c r="O1160" s="124" t="s">
        <v>916</v>
      </c>
      <c r="P1160" s="118">
        <v>3215375.5700000003</v>
      </c>
      <c r="Q1160" s="118">
        <f>Q1161</f>
        <v>0</v>
      </c>
      <c r="R1160" s="118">
        <f>R1161</f>
        <v>0</v>
      </c>
      <c r="S1160" s="118">
        <f>S1161</f>
        <v>3215375.5700000003</v>
      </c>
      <c r="T1160" s="118">
        <f t="shared" si="167"/>
        <v>5945.5909208579897</v>
      </c>
      <c r="U1160" s="118">
        <f>U1161</f>
        <v>5945.5909171597641</v>
      </c>
      <c r="V1160" s="183">
        <f t="shared" si="160"/>
        <v>-3.6982255551265553E-6</v>
      </c>
      <c r="W1160" s="183"/>
      <c r="X1160" s="183"/>
      <c r="Y1160" s="64" t="e">
        <f t="shared" si="161"/>
        <v>#N/A</v>
      </c>
      <c r="AA1160" s="64" t="e">
        <f t="shared" si="162"/>
        <v>#N/A</v>
      </c>
      <c r="AH1160" s="64" t="e">
        <f t="shared" si="163"/>
        <v>#N/A</v>
      </c>
      <c r="AS1160" s="64" t="e">
        <f t="shared" si="164"/>
        <v>#N/A</v>
      </c>
    </row>
    <row r="1161" spans="1:194" s="20" customFormat="1" ht="36" customHeight="1" x14ac:dyDescent="0.9">
      <c r="A1161" s="64">
        <v>1</v>
      </c>
      <c r="B1161" s="92">
        <f>SUBTOTAL(103,$A$942:A1161)</f>
        <v>181</v>
      </c>
      <c r="C1161" s="116" t="s">
        <v>70</v>
      </c>
      <c r="D1161" s="126">
        <v>1958</v>
      </c>
      <c r="E1161" s="126"/>
      <c r="F1161" s="147" t="s">
        <v>273</v>
      </c>
      <c r="G1161" s="126">
        <v>2</v>
      </c>
      <c r="H1161" s="126">
        <v>2</v>
      </c>
      <c r="I1161" s="117">
        <v>540.79999999999995</v>
      </c>
      <c r="J1161" s="117">
        <v>281.10000000000002</v>
      </c>
      <c r="K1161" s="117">
        <v>251.8</v>
      </c>
      <c r="L1161" s="128">
        <v>15</v>
      </c>
      <c r="M1161" s="126" t="s">
        <v>271</v>
      </c>
      <c r="N1161" s="126" t="s">
        <v>272</v>
      </c>
      <c r="O1161" s="126" t="s">
        <v>274</v>
      </c>
      <c r="P1161" s="117">
        <v>3215375.5700000003</v>
      </c>
      <c r="Q1161" s="117">
        <v>0</v>
      </c>
      <c r="R1161" s="117">
        <v>0</v>
      </c>
      <c r="S1161" s="117">
        <f>P1161-Q1161-R1161</f>
        <v>3215375.5700000003</v>
      </c>
      <c r="T1161" s="118">
        <f t="shared" si="167"/>
        <v>5945.5909208579897</v>
      </c>
      <c r="U1161" s="118">
        <f>Y1161</f>
        <v>5945.5909171597641</v>
      </c>
      <c r="V1161" s="183">
        <f t="shared" si="160"/>
        <v>-3.6982255551265553E-6</v>
      </c>
      <c r="W1161" s="183"/>
      <c r="X1161" s="183"/>
      <c r="Y1161" s="64">
        <f t="shared" si="161"/>
        <v>5945.5909171597641</v>
      </c>
      <c r="AA1161" s="64">
        <f t="shared" si="162"/>
        <v>615.76</v>
      </c>
      <c r="AH1161" s="64" t="e">
        <f t="shared" si="163"/>
        <v>#N/A</v>
      </c>
      <c r="AS1161" s="64" t="e">
        <f t="shared" si="164"/>
        <v>#N/A</v>
      </c>
      <c r="DT1161" s="119"/>
      <c r="DU1161" s="119"/>
      <c r="DV1161" s="119"/>
      <c r="EJ1161" s="120"/>
      <c r="ES1161" s="121"/>
      <c r="FV1161" s="122"/>
      <c r="GL1161" s="123"/>
    </row>
    <row r="1162" spans="1:194" s="64" customFormat="1" ht="36" customHeight="1" x14ac:dyDescent="0.9">
      <c r="B1162" s="91" t="s">
        <v>871</v>
      </c>
      <c r="C1162" s="91"/>
      <c r="D1162" s="126" t="s">
        <v>916</v>
      </c>
      <c r="E1162" s="126" t="s">
        <v>916</v>
      </c>
      <c r="F1162" s="126" t="s">
        <v>916</v>
      </c>
      <c r="G1162" s="126" t="s">
        <v>916</v>
      </c>
      <c r="H1162" s="126" t="s">
        <v>916</v>
      </c>
      <c r="I1162" s="117">
        <f>SUM(I1163:I1165)</f>
        <v>2550.6999999999998</v>
      </c>
      <c r="J1162" s="117">
        <f>SUM(J1163:J1165)</f>
        <v>2342.9800000000005</v>
      </c>
      <c r="K1162" s="117">
        <f>SUM(K1163:K1165)</f>
        <v>2272.58</v>
      </c>
      <c r="L1162" s="127">
        <f>SUM(L1163:L1165)</f>
        <v>119</v>
      </c>
      <c r="M1162" s="126" t="s">
        <v>916</v>
      </c>
      <c r="N1162" s="126" t="s">
        <v>916</v>
      </c>
      <c r="O1162" s="124" t="s">
        <v>916</v>
      </c>
      <c r="P1162" s="118">
        <v>10672314.84</v>
      </c>
      <c r="Q1162" s="118">
        <f>Q1163+Q1164+Q1165</f>
        <v>0</v>
      </c>
      <c r="R1162" s="118">
        <f>R1163+R1164+R1165</f>
        <v>0</v>
      </c>
      <c r="S1162" s="118">
        <f>S1163+S1164+S1165</f>
        <v>10672314.84</v>
      </c>
      <c r="T1162" s="118">
        <f t="shared" si="167"/>
        <v>4184.0729368408674</v>
      </c>
      <c r="U1162" s="118">
        <f>MAX(U1163:U1165)</f>
        <v>5060.3010309278352</v>
      </c>
      <c r="V1162" s="183">
        <f t="shared" si="160"/>
        <v>876.22809408696776</v>
      </c>
      <c r="W1162" s="183"/>
      <c r="X1162" s="183"/>
      <c r="Y1162" s="64" t="e">
        <f t="shared" si="161"/>
        <v>#N/A</v>
      </c>
      <c r="AA1162" s="64" t="e">
        <f t="shared" si="162"/>
        <v>#N/A</v>
      </c>
      <c r="AH1162" s="64" t="e">
        <f t="shared" si="163"/>
        <v>#N/A</v>
      </c>
      <c r="AS1162" s="64" t="e">
        <f t="shared" si="164"/>
        <v>#N/A</v>
      </c>
    </row>
    <row r="1163" spans="1:194" s="20" customFormat="1" ht="36" customHeight="1" x14ac:dyDescent="0.9">
      <c r="A1163" s="64">
        <v>1</v>
      </c>
      <c r="B1163" s="92">
        <f>SUBTOTAL(103,$A$942:A1163)</f>
        <v>182</v>
      </c>
      <c r="C1163" s="116" t="s">
        <v>71</v>
      </c>
      <c r="D1163" s="126">
        <v>1979</v>
      </c>
      <c r="E1163" s="126"/>
      <c r="F1163" s="147" t="s">
        <v>273</v>
      </c>
      <c r="G1163" s="126">
        <v>3</v>
      </c>
      <c r="H1163" s="126">
        <v>2</v>
      </c>
      <c r="I1163" s="117">
        <v>850.1</v>
      </c>
      <c r="J1163" s="117">
        <v>757.1</v>
      </c>
      <c r="K1163" s="117">
        <v>745</v>
      </c>
      <c r="L1163" s="128">
        <v>29</v>
      </c>
      <c r="M1163" s="126" t="s">
        <v>271</v>
      </c>
      <c r="N1163" s="126" t="s">
        <v>272</v>
      </c>
      <c r="O1163" s="126" t="s">
        <v>274</v>
      </c>
      <c r="P1163" s="117">
        <v>2391584.4</v>
      </c>
      <c r="Q1163" s="117">
        <v>0</v>
      </c>
      <c r="R1163" s="117">
        <v>0</v>
      </c>
      <c r="S1163" s="117">
        <f>P1163-Q1163-R1163</f>
        <v>2391584.4</v>
      </c>
      <c r="T1163" s="118">
        <f t="shared" si="167"/>
        <v>2813.2977296788613</v>
      </c>
      <c r="U1163" s="118">
        <f>Y1163</f>
        <v>2813.2977296788613</v>
      </c>
      <c r="V1163" s="183">
        <f t="shared" si="160"/>
        <v>0</v>
      </c>
      <c r="W1163" s="183"/>
      <c r="X1163" s="183"/>
      <c r="Y1163" s="64">
        <f t="shared" si="161"/>
        <v>2813.2977296788613</v>
      </c>
      <c r="AA1163" s="64">
        <f t="shared" si="162"/>
        <v>458</v>
      </c>
      <c r="AH1163" s="64" t="e">
        <f t="shared" si="163"/>
        <v>#N/A</v>
      </c>
      <c r="AS1163" s="64" t="e">
        <f t="shared" si="164"/>
        <v>#N/A</v>
      </c>
      <c r="DT1163" s="119"/>
      <c r="DU1163" s="119"/>
      <c r="DV1163" s="119"/>
      <c r="EJ1163" s="120"/>
      <c r="ES1163" s="121"/>
      <c r="FV1163" s="122"/>
      <c r="GL1163" s="123"/>
    </row>
    <row r="1164" spans="1:194" s="20" customFormat="1" ht="36" customHeight="1" x14ac:dyDescent="0.9">
      <c r="A1164" s="64">
        <v>1</v>
      </c>
      <c r="B1164" s="92">
        <f>SUBTOTAL(103,$A$942:A1164)</f>
        <v>183</v>
      </c>
      <c r="C1164" s="116" t="s">
        <v>72</v>
      </c>
      <c r="D1164" s="126">
        <v>1980</v>
      </c>
      <c r="E1164" s="126"/>
      <c r="F1164" s="147" t="s">
        <v>273</v>
      </c>
      <c r="G1164" s="126">
        <v>2</v>
      </c>
      <c r="H1164" s="126">
        <v>2</v>
      </c>
      <c r="I1164" s="117">
        <v>970</v>
      </c>
      <c r="J1164" s="117">
        <v>885.2</v>
      </c>
      <c r="K1164" s="117">
        <v>826.90000000000009</v>
      </c>
      <c r="L1164" s="128">
        <v>60</v>
      </c>
      <c r="M1164" s="126" t="s">
        <v>271</v>
      </c>
      <c r="N1164" s="126" t="s">
        <v>272</v>
      </c>
      <c r="O1164" s="126" t="s">
        <v>274</v>
      </c>
      <c r="P1164" s="117">
        <v>4908492</v>
      </c>
      <c r="Q1164" s="117">
        <v>0</v>
      </c>
      <c r="R1164" s="117">
        <v>0</v>
      </c>
      <c r="S1164" s="117">
        <f>P1164-Q1164-R1164</f>
        <v>4908492</v>
      </c>
      <c r="T1164" s="118">
        <f t="shared" si="167"/>
        <v>5060.3010309278352</v>
      </c>
      <c r="U1164" s="118">
        <f>Y1164</f>
        <v>5060.3010309278352</v>
      </c>
      <c r="V1164" s="183">
        <f t="shared" si="160"/>
        <v>0</v>
      </c>
      <c r="W1164" s="183"/>
      <c r="X1164" s="183"/>
      <c r="Y1164" s="64">
        <f t="shared" si="161"/>
        <v>5060.3010309278352</v>
      </c>
      <c r="AA1164" s="64">
        <f t="shared" si="162"/>
        <v>940</v>
      </c>
      <c r="AH1164" s="64" t="e">
        <f t="shared" si="163"/>
        <v>#N/A</v>
      </c>
      <c r="AS1164" s="64" t="e">
        <f t="shared" si="164"/>
        <v>#N/A</v>
      </c>
      <c r="DT1164" s="119"/>
      <c r="DU1164" s="119"/>
      <c r="DV1164" s="119"/>
      <c r="EJ1164" s="120"/>
      <c r="ES1164" s="121"/>
      <c r="FV1164" s="122"/>
      <c r="GL1164" s="123"/>
    </row>
    <row r="1165" spans="1:194" s="20" customFormat="1" ht="36" customHeight="1" x14ac:dyDescent="0.9">
      <c r="A1165" s="64">
        <v>1</v>
      </c>
      <c r="B1165" s="92">
        <f>SUBTOTAL(103,$A$942:A1165)</f>
        <v>184</v>
      </c>
      <c r="C1165" s="116" t="s">
        <v>73</v>
      </c>
      <c r="D1165" s="126">
        <v>1969</v>
      </c>
      <c r="E1165" s="126"/>
      <c r="F1165" s="147" t="s">
        <v>273</v>
      </c>
      <c r="G1165" s="126">
        <v>2</v>
      </c>
      <c r="H1165" s="126">
        <v>2</v>
      </c>
      <c r="I1165" s="117">
        <v>730.6</v>
      </c>
      <c r="J1165" s="117">
        <v>700.68000000000006</v>
      </c>
      <c r="K1165" s="117">
        <v>700.68</v>
      </c>
      <c r="L1165" s="128">
        <v>30</v>
      </c>
      <c r="M1165" s="126" t="s">
        <v>271</v>
      </c>
      <c r="N1165" s="126" t="s">
        <v>272</v>
      </c>
      <c r="O1165" s="126" t="s">
        <v>274</v>
      </c>
      <c r="P1165" s="117">
        <v>3372238.44</v>
      </c>
      <c r="Q1165" s="117">
        <v>0</v>
      </c>
      <c r="R1165" s="117">
        <v>0</v>
      </c>
      <c r="S1165" s="117">
        <f>P1165-Q1165-R1165</f>
        <v>3372238.44</v>
      </c>
      <c r="T1165" s="118">
        <f t="shared" si="167"/>
        <v>4615.710977278949</v>
      </c>
      <c r="U1165" s="118">
        <f>Y1165</f>
        <v>4615.710977278949</v>
      </c>
      <c r="V1165" s="183">
        <f t="shared" si="160"/>
        <v>0</v>
      </c>
      <c r="W1165" s="183"/>
      <c r="X1165" s="183"/>
      <c r="Y1165" s="64">
        <f t="shared" si="161"/>
        <v>4615.710977278949</v>
      </c>
      <c r="AA1165" s="64">
        <f t="shared" si="162"/>
        <v>645.79999999999995</v>
      </c>
      <c r="AH1165" s="64" t="e">
        <f t="shared" si="163"/>
        <v>#N/A</v>
      </c>
      <c r="AS1165" s="64" t="e">
        <f t="shared" si="164"/>
        <v>#N/A</v>
      </c>
      <c r="DT1165" s="119"/>
      <c r="DU1165" s="119"/>
      <c r="DV1165" s="119"/>
      <c r="EJ1165" s="120"/>
      <c r="ES1165" s="121"/>
      <c r="FV1165" s="122"/>
      <c r="GL1165" s="123"/>
    </row>
    <row r="1166" spans="1:194" s="64" customFormat="1" ht="36" customHeight="1" x14ac:dyDescent="0.9">
      <c r="B1166" s="91" t="s">
        <v>867</v>
      </c>
      <c r="C1166" s="91"/>
      <c r="D1166" s="126" t="s">
        <v>916</v>
      </c>
      <c r="E1166" s="126" t="s">
        <v>916</v>
      </c>
      <c r="F1166" s="126" t="s">
        <v>916</v>
      </c>
      <c r="G1166" s="126" t="s">
        <v>916</v>
      </c>
      <c r="H1166" s="126" t="s">
        <v>916</v>
      </c>
      <c r="I1166" s="117">
        <f>I1167</f>
        <v>5523</v>
      </c>
      <c r="J1166" s="117">
        <f>J1167</f>
        <v>4105.6000000000004</v>
      </c>
      <c r="K1166" s="117">
        <f>K1167</f>
        <v>2967.3500000000004</v>
      </c>
      <c r="L1166" s="127">
        <f>L1167</f>
        <v>208</v>
      </c>
      <c r="M1166" s="126" t="s">
        <v>916</v>
      </c>
      <c r="N1166" s="126" t="s">
        <v>916</v>
      </c>
      <c r="O1166" s="124" t="s">
        <v>916</v>
      </c>
      <c r="P1166" s="118">
        <v>3912770.8299999996</v>
      </c>
      <c r="Q1166" s="118">
        <f>Q1167</f>
        <v>0</v>
      </c>
      <c r="R1166" s="118">
        <f>R1167</f>
        <v>0</v>
      </c>
      <c r="S1166" s="118">
        <f>S1167</f>
        <v>3912770.8299999996</v>
      </c>
      <c r="T1166" s="118">
        <f t="shared" si="167"/>
        <v>708.45026797030596</v>
      </c>
      <c r="U1166" s="118">
        <f>U1167</f>
        <v>1248.0130363932644</v>
      </c>
      <c r="V1166" s="183">
        <f t="shared" si="160"/>
        <v>539.56276842295847</v>
      </c>
      <c r="W1166" s="183"/>
      <c r="X1166" s="183"/>
      <c r="Y1166" s="64" t="e">
        <f t="shared" si="161"/>
        <v>#N/A</v>
      </c>
      <c r="AA1166" s="64" t="e">
        <f t="shared" si="162"/>
        <v>#N/A</v>
      </c>
      <c r="AH1166" s="64" t="e">
        <f t="shared" si="163"/>
        <v>#N/A</v>
      </c>
      <c r="AS1166" s="64" t="e">
        <f t="shared" si="164"/>
        <v>#N/A</v>
      </c>
    </row>
    <row r="1167" spans="1:194" s="20" customFormat="1" ht="36" customHeight="1" x14ac:dyDescent="0.9">
      <c r="A1167" s="64">
        <v>1</v>
      </c>
      <c r="B1167" s="92">
        <f>SUBTOTAL(103,$A$942:A1167)</f>
        <v>185</v>
      </c>
      <c r="C1167" s="116" t="s">
        <v>1616</v>
      </c>
      <c r="D1167" s="126">
        <v>1979</v>
      </c>
      <c r="E1167" s="126"/>
      <c r="F1167" s="147" t="s">
        <v>1626</v>
      </c>
      <c r="G1167" s="126">
        <v>5</v>
      </c>
      <c r="H1167" s="126">
        <v>6</v>
      </c>
      <c r="I1167" s="117">
        <v>5523</v>
      </c>
      <c r="J1167" s="117">
        <v>4105.6000000000004</v>
      </c>
      <c r="K1167" s="117">
        <f>3015.05-47.7</f>
        <v>2967.3500000000004</v>
      </c>
      <c r="L1167" s="128">
        <v>208</v>
      </c>
      <c r="M1167" s="126" t="s">
        <v>271</v>
      </c>
      <c r="N1167" s="126" t="s">
        <v>275</v>
      </c>
      <c r="O1167" s="126" t="s">
        <v>1578</v>
      </c>
      <c r="P1167" s="117">
        <v>3912770.8299999996</v>
      </c>
      <c r="Q1167" s="117">
        <v>0</v>
      </c>
      <c r="R1167" s="117">
        <v>0</v>
      </c>
      <c r="S1167" s="117">
        <f>P1167-Q1167-R1167</f>
        <v>3912770.8299999996</v>
      </c>
      <c r="T1167" s="118">
        <f t="shared" si="167"/>
        <v>708.45026797030596</v>
      </c>
      <c r="U1167" s="118">
        <f>Y1167</f>
        <v>1248.0130363932644</v>
      </c>
      <c r="V1167" s="183">
        <f t="shared" si="160"/>
        <v>539.56276842295847</v>
      </c>
      <c r="W1167" s="183"/>
      <c r="X1167" s="183"/>
      <c r="Y1167" s="64">
        <f t="shared" si="161"/>
        <v>1248.0130363932644</v>
      </c>
      <c r="AA1167" s="64">
        <f t="shared" si="162"/>
        <v>1320</v>
      </c>
      <c r="AH1167" s="64" t="e">
        <f t="shared" si="163"/>
        <v>#N/A</v>
      </c>
      <c r="AS1167" s="64" t="e">
        <f t="shared" si="164"/>
        <v>#N/A</v>
      </c>
      <c r="DT1167" s="119"/>
      <c r="DU1167" s="119"/>
      <c r="DV1167" s="119"/>
      <c r="EJ1167" s="120"/>
      <c r="ES1167" s="121"/>
      <c r="FV1167" s="122"/>
      <c r="GL1167" s="123"/>
    </row>
    <row r="1168" spans="1:194" s="64" customFormat="1" ht="36" customHeight="1" x14ac:dyDescent="0.9">
      <c r="B1168" s="91" t="s">
        <v>872</v>
      </c>
      <c r="C1168" s="172"/>
      <c r="D1168" s="126" t="s">
        <v>916</v>
      </c>
      <c r="E1168" s="126" t="s">
        <v>916</v>
      </c>
      <c r="F1168" s="126" t="s">
        <v>916</v>
      </c>
      <c r="G1168" s="126" t="s">
        <v>916</v>
      </c>
      <c r="H1168" s="126" t="s">
        <v>916</v>
      </c>
      <c r="I1168" s="117">
        <f>I1169</f>
        <v>1046.8</v>
      </c>
      <c r="J1168" s="117">
        <f>J1169</f>
        <v>929.5</v>
      </c>
      <c r="K1168" s="117">
        <f>K1169</f>
        <v>929.5</v>
      </c>
      <c r="L1168" s="127">
        <f>L1169</f>
        <v>44</v>
      </c>
      <c r="M1168" s="126" t="s">
        <v>916</v>
      </c>
      <c r="N1168" s="126" t="s">
        <v>916</v>
      </c>
      <c r="O1168" s="124" t="s">
        <v>916</v>
      </c>
      <c r="P1168" s="118">
        <v>4804056</v>
      </c>
      <c r="Q1168" s="118">
        <f>Q1169</f>
        <v>0</v>
      </c>
      <c r="R1168" s="118">
        <f>R1169</f>
        <v>0</v>
      </c>
      <c r="S1168" s="118">
        <f>S1169</f>
        <v>4804056</v>
      </c>
      <c r="T1168" s="118">
        <f t="shared" si="167"/>
        <v>4589.277799006496</v>
      </c>
      <c r="U1168" s="118">
        <f>U1169</f>
        <v>4614.2195261750094</v>
      </c>
      <c r="V1168" s="183">
        <f t="shared" si="160"/>
        <v>24.941727168513353</v>
      </c>
      <c r="W1168" s="183"/>
      <c r="X1168" s="183"/>
      <c r="Y1168" s="64" t="e">
        <f t="shared" si="161"/>
        <v>#N/A</v>
      </c>
      <c r="AA1168" s="64" t="e">
        <f t="shared" si="162"/>
        <v>#N/A</v>
      </c>
      <c r="AH1168" s="64" t="e">
        <f t="shared" si="163"/>
        <v>#N/A</v>
      </c>
      <c r="AS1168" s="64" t="e">
        <f t="shared" si="164"/>
        <v>#N/A</v>
      </c>
    </row>
    <row r="1169" spans="1:194" s="20" customFormat="1" ht="36" customHeight="1" x14ac:dyDescent="0.9">
      <c r="A1169" s="64">
        <v>1</v>
      </c>
      <c r="B1169" s="92">
        <f>SUBTOTAL(103,$A$942:A1169)</f>
        <v>186</v>
      </c>
      <c r="C1169" s="116" t="s">
        <v>231</v>
      </c>
      <c r="D1169" s="126">
        <v>1994</v>
      </c>
      <c r="E1169" s="126"/>
      <c r="F1169" s="147" t="s">
        <v>273</v>
      </c>
      <c r="G1169" s="126">
        <v>2</v>
      </c>
      <c r="H1169" s="126">
        <v>2</v>
      </c>
      <c r="I1169" s="117">
        <v>1046.8</v>
      </c>
      <c r="J1169" s="117">
        <v>929.5</v>
      </c>
      <c r="K1169" s="117">
        <v>929.5</v>
      </c>
      <c r="L1169" s="128">
        <v>44</v>
      </c>
      <c r="M1169" s="126" t="s">
        <v>271</v>
      </c>
      <c r="N1169" s="126" t="s">
        <v>275</v>
      </c>
      <c r="O1169" s="126" t="s">
        <v>726</v>
      </c>
      <c r="P1169" s="117">
        <v>4804056</v>
      </c>
      <c r="Q1169" s="117">
        <v>0</v>
      </c>
      <c r="R1169" s="117">
        <v>0</v>
      </c>
      <c r="S1169" s="117">
        <f>P1169-Q1169-R1169</f>
        <v>4804056</v>
      </c>
      <c r="T1169" s="118">
        <f t="shared" si="167"/>
        <v>4589.277799006496</v>
      </c>
      <c r="U1169" s="118">
        <f>Y1169</f>
        <v>4614.2195261750094</v>
      </c>
      <c r="V1169" s="183">
        <f t="shared" ref="V1169:V1212" si="168">U1169-T1169</f>
        <v>24.941727168513353</v>
      </c>
      <c r="W1169" s="183"/>
      <c r="X1169" s="183"/>
      <c r="Y1169" s="64">
        <f t="shared" ref="Y1169:Y1212" si="169">AA1169*5221.8/I1169</f>
        <v>4614.2195261750094</v>
      </c>
      <c r="AA1169" s="64">
        <f t="shared" ref="AA1169:AA1212" si="170">VLOOKUP(C1169,AC:AE,2,FALSE)</f>
        <v>925</v>
      </c>
      <c r="AH1169" s="64" t="e">
        <f t="shared" ref="AH1169:AH1214" si="171">VLOOKUP(C1169,AJ:AK,2,FALSE)</f>
        <v>#N/A</v>
      </c>
      <c r="AS1169" s="64" t="e">
        <f t="shared" ref="AS1169:AS1232" si="172">VLOOKUP(C1169,AU:AV,2,FALSE)</f>
        <v>#N/A</v>
      </c>
      <c r="DT1169" s="119"/>
      <c r="DU1169" s="119"/>
      <c r="DV1169" s="119"/>
      <c r="EJ1169" s="120"/>
      <c r="ES1169" s="121"/>
      <c r="FV1169" s="122"/>
      <c r="GL1169" s="123"/>
    </row>
    <row r="1170" spans="1:194" s="64" customFormat="1" ht="36" customHeight="1" x14ac:dyDescent="0.9">
      <c r="B1170" s="91" t="s">
        <v>908</v>
      </c>
      <c r="C1170" s="172"/>
      <c r="D1170" s="126" t="s">
        <v>916</v>
      </c>
      <c r="E1170" s="126" t="s">
        <v>916</v>
      </c>
      <c r="F1170" s="126" t="s">
        <v>916</v>
      </c>
      <c r="G1170" s="126" t="s">
        <v>916</v>
      </c>
      <c r="H1170" s="126" t="s">
        <v>916</v>
      </c>
      <c r="I1170" s="117">
        <f>I1171</f>
        <v>3554.5</v>
      </c>
      <c r="J1170" s="117">
        <f>J1171</f>
        <v>3290.7</v>
      </c>
      <c r="K1170" s="117">
        <f>K1171</f>
        <v>3220.4</v>
      </c>
      <c r="L1170" s="127">
        <f>L1171</f>
        <v>145</v>
      </c>
      <c r="M1170" s="126" t="s">
        <v>916</v>
      </c>
      <c r="N1170" s="126" t="s">
        <v>916</v>
      </c>
      <c r="O1170" s="124" t="s">
        <v>916</v>
      </c>
      <c r="P1170" s="118">
        <v>7284801.9000000004</v>
      </c>
      <c r="Q1170" s="118">
        <f>Q1171</f>
        <v>0</v>
      </c>
      <c r="R1170" s="118">
        <f>R1171</f>
        <v>0</v>
      </c>
      <c r="S1170" s="118">
        <f>S1171</f>
        <v>7284801.9000000004</v>
      </c>
      <c r="T1170" s="118">
        <f t="shared" si="167"/>
        <v>2049.4589675059783</v>
      </c>
      <c r="U1170" s="118">
        <f>U1171</f>
        <v>2205.8150893646189</v>
      </c>
      <c r="V1170" s="183">
        <f t="shared" si="168"/>
        <v>156.35612185864056</v>
      </c>
      <c r="W1170" s="183"/>
      <c r="X1170" s="183"/>
      <c r="Y1170" s="64" t="e">
        <f t="shared" si="169"/>
        <v>#N/A</v>
      </c>
      <c r="AA1170" s="64" t="e">
        <f t="shared" si="170"/>
        <v>#N/A</v>
      </c>
      <c r="AH1170" s="64" t="e">
        <f t="shared" si="171"/>
        <v>#N/A</v>
      </c>
      <c r="AS1170" s="64" t="e">
        <f t="shared" si="172"/>
        <v>#N/A</v>
      </c>
    </row>
    <row r="1171" spans="1:194" s="20" customFormat="1" ht="36" customHeight="1" x14ac:dyDescent="0.9">
      <c r="A1171" s="64">
        <v>1</v>
      </c>
      <c r="B1171" s="92">
        <f>SUBTOTAL(103,$A$942:A1171)</f>
        <v>187</v>
      </c>
      <c r="C1171" s="116" t="s">
        <v>162</v>
      </c>
      <c r="D1171" s="126">
        <v>1987</v>
      </c>
      <c r="E1171" s="126"/>
      <c r="F1171" s="147" t="s">
        <v>293</v>
      </c>
      <c r="G1171" s="126">
        <v>3</v>
      </c>
      <c r="H1171" s="126">
        <v>7</v>
      </c>
      <c r="I1171" s="117">
        <v>3554.5</v>
      </c>
      <c r="J1171" s="117">
        <v>3290.7</v>
      </c>
      <c r="K1171" s="117">
        <v>3220.4</v>
      </c>
      <c r="L1171" s="128">
        <v>145</v>
      </c>
      <c r="M1171" s="126" t="s">
        <v>271</v>
      </c>
      <c r="N1171" s="126" t="s">
        <v>275</v>
      </c>
      <c r="O1171" s="126" t="s">
        <v>1021</v>
      </c>
      <c r="P1171" s="117">
        <v>7284801.9000000004</v>
      </c>
      <c r="Q1171" s="117">
        <v>0</v>
      </c>
      <c r="R1171" s="117">
        <v>0</v>
      </c>
      <c r="S1171" s="117">
        <f>P1171-Q1171-R1171</f>
        <v>7284801.9000000004</v>
      </c>
      <c r="T1171" s="118">
        <f t="shared" si="167"/>
        <v>2049.4589675059783</v>
      </c>
      <c r="U1171" s="118">
        <f>Y1171</f>
        <v>2205.8150893646189</v>
      </c>
      <c r="V1171" s="183">
        <f t="shared" si="168"/>
        <v>156.35612185864056</v>
      </c>
      <c r="W1171" s="183"/>
      <c r="X1171" s="183"/>
      <c r="Y1171" s="64">
        <f t="shared" si="169"/>
        <v>2205.8150893646189</v>
      </c>
      <c r="AA1171" s="64">
        <f t="shared" si="170"/>
        <v>1501.50709241</v>
      </c>
      <c r="AH1171" s="64" t="e">
        <f t="shared" si="171"/>
        <v>#N/A</v>
      </c>
      <c r="AS1171" s="64" t="e">
        <f t="shared" si="172"/>
        <v>#N/A</v>
      </c>
      <c r="DT1171" s="119"/>
      <c r="DU1171" s="119"/>
      <c r="DV1171" s="119"/>
      <c r="EJ1171" s="120"/>
      <c r="ES1171" s="121"/>
      <c r="FV1171" s="122"/>
      <c r="GL1171" s="123"/>
    </row>
    <row r="1172" spans="1:194" s="64" customFormat="1" ht="36" customHeight="1" x14ac:dyDescent="0.9">
      <c r="B1172" s="91" t="s">
        <v>903</v>
      </c>
      <c r="C1172" s="91"/>
      <c r="D1172" s="126" t="s">
        <v>916</v>
      </c>
      <c r="E1172" s="126" t="s">
        <v>916</v>
      </c>
      <c r="F1172" s="126" t="s">
        <v>916</v>
      </c>
      <c r="G1172" s="126" t="s">
        <v>916</v>
      </c>
      <c r="H1172" s="126" t="s">
        <v>916</v>
      </c>
      <c r="I1172" s="117">
        <f>SUM(I1173:I1174)</f>
        <v>2640.94</v>
      </c>
      <c r="J1172" s="117">
        <f>SUM(J1173:J1174)</f>
        <v>1584.6</v>
      </c>
      <c r="K1172" s="117">
        <f>SUM(K1173:K1174)</f>
        <v>1443.9</v>
      </c>
      <c r="L1172" s="127">
        <f>SUM(L1173:L1174)</f>
        <v>88</v>
      </c>
      <c r="M1172" s="126" t="s">
        <v>916</v>
      </c>
      <c r="N1172" s="126" t="s">
        <v>916</v>
      </c>
      <c r="O1172" s="124" t="s">
        <v>916</v>
      </c>
      <c r="P1172" s="118">
        <v>4011881.02</v>
      </c>
      <c r="Q1172" s="118">
        <f>Q1173+Q1174</f>
        <v>0</v>
      </c>
      <c r="R1172" s="118">
        <f>R1173+R1174</f>
        <v>0</v>
      </c>
      <c r="S1172" s="118">
        <f>S1173+S1174</f>
        <v>4011881.02</v>
      </c>
      <c r="T1172" s="118">
        <f t="shared" si="167"/>
        <v>1519.1110059297068</v>
      </c>
      <c r="U1172" s="118">
        <f>MAX(U1173:U1174)</f>
        <v>2833.1902476780187</v>
      </c>
      <c r="V1172" s="183">
        <f t="shared" si="168"/>
        <v>1314.0792417483119</v>
      </c>
      <c r="W1172" s="183"/>
      <c r="X1172" s="183"/>
      <c r="Y1172" s="64" t="e">
        <f t="shared" si="169"/>
        <v>#N/A</v>
      </c>
      <c r="AA1172" s="64" t="e">
        <f t="shared" si="170"/>
        <v>#N/A</v>
      </c>
      <c r="AH1172" s="64" t="e">
        <f t="shared" si="171"/>
        <v>#N/A</v>
      </c>
      <c r="AS1172" s="64" t="e">
        <f t="shared" si="172"/>
        <v>#N/A</v>
      </c>
    </row>
    <row r="1173" spans="1:194" s="20" customFormat="1" ht="36" customHeight="1" x14ac:dyDescent="0.9">
      <c r="A1173" s="64">
        <v>1</v>
      </c>
      <c r="B1173" s="92">
        <f>SUBTOTAL(103,$A$942:A1173)</f>
        <v>188</v>
      </c>
      <c r="C1173" s="116" t="s">
        <v>168</v>
      </c>
      <c r="D1173" s="126">
        <v>1978</v>
      </c>
      <c r="E1173" s="126"/>
      <c r="F1173" s="147" t="s">
        <v>273</v>
      </c>
      <c r="G1173" s="126">
        <v>2</v>
      </c>
      <c r="H1173" s="126">
        <v>2</v>
      </c>
      <c r="I1173" s="117">
        <v>1219.74</v>
      </c>
      <c r="J1173" s="117">
        <v>712.8</v>
      </c>
      <c r="K1173" s="117">
        <v>712.8</v>
      </c>
      <c r="L1173" s="128">
        <v>41</v>
      </c>
      <c r="M1173" s="126" t="s">
        <v>271</v>
      </c>
      <c r="N1173" s="126" t="s">
        <v>275</v>
      </c>
      <c r="O1173" s="126" t="s">
        <v>1021</v>
      </c>
      <c r="P1173" s="117">
        <v>329863.09999999998</v>
      </c>
      <c r="Q1173" s="117">
        <v>0</v>
      </c>
      <c r="R1173" s="117">
        <v>0</v>
      </c>
      <c r="S1173" s="117">
        <f>P1173-Q1173-R1173</f>
        <v>329863.09999999998</v>
      </c>
      <c r="T1173" s="118">
        <f t="shared" si="167"/>
        <v>270.43722432649577</v>
      </c>
      <c r="U1173" s="118">
        <f>AG1173</f>
        <v>851.20864197530875</v>
      </c>
      <c r="V1173" s="183">
        <f t="shared" si="168"/>
        <v>580.77141764881299</v>
      </c>
      <c r="W1173" s="183"/>
      <c r="X1173" s="183"/>
      <c r="Y1173" s="64" t="e">
        <f t="shared" si="169"/>
        <v>#N/A</v>
      </c>
      <c r="AA1173" s="64" t="e">
        <f t="shared" si="170"/>
        <v>#N/A</v>
      </c>
      <c r="AG1173" s="64">
        <f>AH1173*6191.24/J1173</f>
        <v>851.20864197530875</v>
      </c>
      <c r="AH1173" s="64">
        <f t="shared" si="171"/>
        <v>98</v>
      </c>
      <c r="AS1173" s="64" t="e">
        <f t="shared" si="172"/>
        <v>#N/A</v>
      </c>
      <c r="DT1173" s="119"/>
      <c r="DU1173" s="119"/>
      <c r="DV1173" s="119"/>
      <c r="EJ1173" s="120"/>
      <c r="ES1173" s="121"/>
      <c r="FV1173" s="122"/>
      <c r="GL1173" s="123"/>
    </row>
    <row r="1174" spans="1:194" s="20" customFormat="1" ht="36" customHeight="1" x14ac:dyDescent="0.9">
      <c r="A1174" s="64">
        <v>1</v>
      </c>
      <c r="B1174" s="92">
        <f>SUBTOTAL(103,$A$942:A1174)</f>
        <v>189</v>
      </c>
      <c r="C1174" s="116" t="s">
        <v>169</v>
      </c>
      <c r="D1174" s="126">
        <v>1989</v>
      </c>
      <c r="E1174" s="126"/>
      <c r="F1174" s="147" t="s">
        <v>273</v>
      </c>
      <c r="G1174" s="126">
        <v>2</v>
      </c>
      <c r="H1174" s="126">
        <v>3</v>
      </c>
      <c r="I1174" s="117">
        <v>1421.2</v>
      </c>
      <c r="J1174" s="117">
        <v>871.8</v>
      </c>
      <c r="K1174" s="117">
        <v>731.1</v>
      </c>
      <c r="L1174" s="128">
        <v>47</v>
      </c>
      <c r="M1174" s="126" t="s">
        <v>271</v>
      </c>
      <c r="N1174" s="126" t="s">
        <v>275</v>
      </c>
      <c r="O1174" s="126" t="s">
        <v>1021</v>
      </c>
      <c r="P1174" s="117">
        <v>3682017.92</v>
      </c>
      <c r="Q1174" s="117">
        <v>0</v>
      </c>
      <c r="R1174" s="117">
        <v>0</v>
      </c>
      <c r="S1174" s="117">
        <f>P1174-Q1174-R1174</f>
        <v>3682017.92</v>
      </c>
      <c r="T1174" s="118">
        <f t="shared" si="167"/>
        <v>2590.7809738249366</v>
      </c>
      <c r="U1174" s="118">
        <f>Y1174</f>
        <v>2833.1902476780187</v>
      </c>
      <c r="V1174" s="183">
        <f t="shared" si="168"/>
        <v>242.40927385308214</v>
      </c>
      <c r="W1174" s="183"/>
      <c r="X1174" s="183"/>
      <c r="Y1174" s="64">
        <f t="shared" si="169"/>
        <v>2833.1902476780187</v>
      </c>
      <c r="AA1174" s="64">
        <f t="shared" si="170"/>
        <v>771.1</v>
      </c>
      <c r="AH1174" s="64" t="e">
        <f t="shared" si="171"/>
        <v>#N/A</v>
      </c>
      <c r="AS1174" s="64" t="e">
        <f t="shared" si="172"/>
        <v>#N/A</v>
      </c>
      <c r="DT1174" s="119"/>
      <c r="DU1174" s="119"/>
      <c r="DV1174" s="119"/>
      <c r="EJ1174" s="120"/>
      <c r="ES1174" s="121"/>
      <c r="FV1174" s="122"/>
      <c r="GL1174" s="123"/>
    </row>
    <row r="1175" spans="1:194" s="64" customFormat="1" ht="36" customHeight="1" x14ac:dyDescent="0.9">
      <c r="B1175" s="91" t="s">
        <v>876</v>
      </c>
      <c r="C1175" s="91"/>
      <c r="D1175" s="126" t="s">
        <v>916</v>
      </c>
      <c r="E1175" s="126" t="s">
        <v>916</v>
      </c>
      <c r="F1175" s="126" t="s">
        <v>916</v>
      </c>
      <c r="G1175" s="126" t="s">
        <v>916</v>
      </c>
      <c r="H1175" s="126" t="s">
        <v>916</v>
      </c>
      <c r="I1175" s="117">
        <f>I1176+I1177</f>
        <v>4173.3999999999996</v>
      </c>
      <c r="J1175" s="117">
        <f>J1176+J1177</f>
        <v>3874.5</v>
      </c>
      <c r="K1175" s="117">
        <f>K1176+K1177</f>
        <v>3773.7999999999997</v>
      </c>
      <c r="L1175" s="127">
        <f>L1176+L1177</f>
        <v>171</v>
      </c>
      <c r="M1175" s="126" t="s">
        <v>916</v>
      </c>
      <c r="N1175" s="126" t="s">
        <v>916</v>
      </c>
      <c r="O1175" s="124" t="s">
        <v>916</v>
      </c>
      <c r="P1175" s="118">
        <v>6026117.5699999994</v>
      </c>
      <c r="Q1175" s="118">
        <f>Q1176+Q1177</f>
        <v>0</v>
      </c>
      <c r="R1175" s="118">
        <f>R1176+R1177</f>
        <v>0</v>
      </c>
      <c r="S1175" s="118">
        <f>S1176+S1177</f>
        <v>6026117.5699999994</v>
      </c>
      <c r="T1175" s="118">
        <f t="shared" si="167"/>
        <v>1443.9348181338955</v>
      </c>
      <c r="U1175" s="118">
        <f>MAX(U1176:U1177)</f>
        <v>5373.6143665244508</v>
      </c>
      <c r="V1175" s="183">
        <f t="shared" si="168"/>
        <v>3929.6795483905553</v>
      </c>
      <c r="W1175" s="183"/>
      <c r="X1175" s="183"/>
      <c r="Y1175" s="64" t="e">
        <f t="shared" si="169"/>
        <v>#N/A</v>
      </c>
      <c r="AA1175" s="64" t="e">
        <f t="shared" si="170"/>
        <v>#N/A</v>
      </c>
      <c r="AH1175" s="64" t="e">
        <f t="shared" si="171"/>
        <v>#N/A</v>
      </c>
      <c r="AS1175" s="64" t="e">
        <f t="shared" si="172"/>
        <v>#N/A</v>
      </c>
    </row>
    <row r="1176" spans="1:194" s="20" customFormat="1" ht="36" customHeight="1" x14ac:dyDescent="0.9">
      <c r="A1176" s="64">
        <v>1</v>
      </c>
      <c r="B1176" s="92">
        <f>SUBTOTAL(103,$A$942:A1176)</f>
        <v>190</v>
      </c>
      <c r="C1176" s="116" t="s">
        <v>167</v>
      </c>
      <c r="D1176" s="126">
        <v>1971</v>
      </c>
      <c r="E1176" s="126"/>
      <c r="F1176" s="147" t="s">
        <v>293</v>
      </c>
      <c r="G1176" s="126">
        <v>5</v>
      </c>
      <c r="H1176" s="126">
        <v>4</v>
      </c>
      <c r="I1176" s="117">
        <v>3868.7</v>
      </c>
      <c r="J1176" s="117">
        <v>3593.8</v>
      </c>
      <c r="K1176" s="117">
        <v>3493.1</v>
      </c>
      <c r="L1176" s="128">
        <v>160</v>
      </c>
      <c r="M1176" s="126" t="s">
        <v>271</v>
      </c>
      <c r="N1176" s="126" t="s">
        <v>303</v>
      </c>
      <c r="O1176" s="126" t="s">
        <v>304</v>
      </c>
      <c r="P1176" s="117">
        <v>4388776.2699999996</v>
      </c>
      <c r="Q1176" s="117">
        <v>0</v>
      </c>
      <c r="R1176" s="117">
        <v>0</v>
      </c>
      <c r="S1176" s="117">
        <f>P1176-Q1176-R1176</f>
        <v>4388776.2699999996</v>
      </c>
      <c r="T1176" s="118">
        <f t="shared" si="167"/>
        <v>1134.4317910409181</v>
      </c>
      <c r="U1176" s="118">
        <f>Y1176</f>
        <v>1185.6254349006126</v>
      </c>
      <c r="V1176" s="183">
        <f t="shared" si="168"/>
        <v>51.193643859694475</v>
      </c>
      <c r="W1176" s="183"/>
      <c r="X1176" s="183"/>
      <c r="Y1176" s="64">
        <f t="shared" si="169"/>
        <v>1185.6254349006126</v>
      </c>
      <c r="AA1176" s="64">
        <f t="shared" si="170"/>
        <v>878.4</v>
      </c>
      <c r="AH1176" s="64" t="e">
        <f t="shared" si="171"/>
        <v>#N/A</v>
      </c>
      <c r="AS1176" s="64" t="e">
        <f t="shared" si="172"/>
        <v>#N/A</v>
      </c>
      <c r="DT1176" s="119"/>
      <c r="DU1176" s="119"/>
      <c r="DV1176" s="119"/>
      <c r="EJ1176" s="120"/>
      <c r="ES1176" s="121"/>
      <c r="FV1176" s="122"/>
      <c r="GL1176" s="123"/>
    </row>
    <row r="1177" spans="1:194" s="20" customFormat="1" ht="36" customHeight="1" x14ac:dyDescent="0.9">
      <c r="A1177" s="64">
        <v>1</v>
      </c>
      <c r="B1177" s="92">
        <f>SUBTOTAL(103,$A$942:A1177)</f>
        <v>191</v>
      </c>
      <c r="C1177" s="116" t="s">
        <v>166</v>
      </c>
      <c r="D1177" s="126">
        <v>1964</v>
      </c>
      <c r="E1177" s="126"/>
      <c r="F1177" s="147" t="s">
        <v>273</v>
      </c>
      <c r="G1177" s="126">
        <v>2</v>
      </c>
      <c r="H1177" s="126">
        <v>1</v>
      </c>
      <c r="I1177" s="117">
        <v>304.7</v>
      </c>
      <c r="J1177" s="117">
        <v>280.7</v>
      </c>
      <c r="K1177" s="117">
        <v>280.7</v>
      </c>
      <c r="L1177" s="128">
        <v>11</v>
      </c>
      <c r="M1177" s="126" t="s">
        <v>271</v>
      </c>
      <c r="N1177" s="126" t="s">
        <v>275</v>
      </c>
      <c r="O1177" s="126" t="s">
        <v>295</v>
      </c>
      <c r="P1177" s="117">
        <v>1637341.3</v>
      </c>
      <c r="Q1177" s="117">
        <v>0</v>
      </c>
      <c r="R1177" s="117">
        <v>0</v>
      </c>
      <c r="S1177" s="117">
        <f>P1177-Q1177-R1177</f>
        <v>1637341.3</v>
      </c>
      <c r="T1177" s="118">
        <f t="shared" si="167"/>
        <v>5373.6176567115199</v>
      </c>
      <c r="U1177" s="118">
        <f>Y1177</f>
        <v>5373.6143665244508</v>
      </c>
      <c r="V1177" s="183">
        <f t="shared" si="168"/>
        <v>-3.2901870690693613E-3</v>
      </c>
      <c r="W1177" s="183"/>
      <c r="X1177" s="183"/>
      <c r="Y1177" s="64">
        <f t="shared" si="169"/>
        <v>5373.6143665244508</v>
      </c>
      <c r="AA1177" s="64">
        <f t="shared" si="170"/>
        <v>313.55860000000001</v>
      </c>
      <c r="AH1177" s="64" t="e">
        <f t="shared" si="171"/>
        <v>#N/A</v>
      </c>
      <c r="AS1177" s="64" t="e">
        <f t="shared" si="172"/>
        <v>#N/A</v>
      </c>
      <c r="DT1177" s="119"/>
      <c r="DU1177" s="119"/>
      <c r="DV1177" s="119"/>
      <c r="EJ1177" s="120"/>
      <c r="ES1177" s="121"/>
      <c r="FV1177" s="122"/>
      <c r="GL1177" s="123"/>
    </row>
    <row r="1178" spans="1:194" s="64" customFormat="1" ht="36" customHeight="1" x14ac:dyDescent="0.9">
      <c r="B1178" s="91" t="s">
        <v>907</v>
      </c>
      <c r="C1178" s="91"/>
      <c r="D1178" s="126" t="s">
        <v>916</v>
      </c>
      <c r="E1178" s="126" t="s">
        <v>916</v>
      </c>
      <c r="F1178" s="126" t="s">
        <v>916</v>
      </c>
      <c r="G1178" s="126" t="s">
        <v>916</v>
      </c>
      <c r="H1178" s="126" t="s">
        <v>916</v>
      </c>
      <c r="I1178" s="117">
        <f>I1179+I1180+I1181</f>
        <v>13642.179999999998</v>
      </c>
      <c r="J1178" s="117">
        <f>J1179+J1180+J1181</f>
        <v>4926.2000000000007</v>
      </c>
      <c r="K1178" s="117">
        <f>K1179+K1180+K1181</f>
        <v>504.30000000000007</v>
      </c>
      <c r="L1178" s="127">
        <f>L1179+L1180+L1181</f>
        <v>327</v>
      </c>
      <c r="M1178" s="126" t="s">
        <v>916</v>
      </c>
      <c r="N1178" s="126" t="s">
        <v>916</v>
      </c>
      <c r="O1178" s="124" t="s">
        <v>916</v>
      </c>
      <c r="P1178" s="118">
        <v>12459674.15</v>
      </c>
      <c r="Q1178" s="118">
        <f>Q1179+Q1180+Q1181</f>
        <v>0</v>
      </c>
      <c r="R1178" s="118">
        <f>R1179+R1180+R1181</f>
        <v>0</v>
      </c>
      <c r="S1178" s="118">
        <f>S1179+S1180+S1181</f>
        <v>12459674.15</v>
      </c>
      <c r="T1178" s="118">
        <f t="shared" si="167"/>
        <v>913.31987629543096</v>
      </c>
      <c r="U1178" s="118">
        <f>MAX(U1179:U1181)</f>
        <v>1458.1438978875867</v>
      </c>
      <c r="V1178" s="183">
        <f t="shared" si="168"/>
        <v>544.82402159215576</v>
      </c>
      <c r="W1178" s="183"/>
      <c r="X1178" s="183"/>
      <c r="Y1178" s="64" t="e">
        <f t="shared" si="169"/>
        <v>#N/A</v>
      </c>
      <c r="AA1178" s="64" t="e">
        <f t="shared" si="170"/>
        <v>#N/A</v>
      </c>
      <c r="AH1178" s="64" t="e">
        <f t="shared" si="171"/>
        <v>#N/A</v>
      </c>
      <c r="AS1178" s="64" t="e">
        <f t="shared" si="172"/>
        <v>#N/A</v>
      </c>
    </row>
    <row r="1179" spans="1:194" s="20" customFormat="1" ht="36" customHeight="1" x14ac:dyDescent="0.9">
      <c r="A1179" s="64">
        <v>1</v>
      </c>
      <c r="B1179" s="92">
        <f>SUBTOTAL(103,$A$942:A1179)</f>
        <v>192</v>
      </c>
      <c r="C1179" s="116" t="s">
        <v>163</v>
      </c>
      <c r="D1179" s="126">
        <v>1988</v>
      </c>
      <c r="E1179" s="126"/>
      <c r="F1179" s="147" t="s">
        <v>273</v>
      </c>
      <c r="G1179" s="126">
        <v>5</v>
      </c>
      <c r="H1179" s="126">
        <v>6</v>
      </c>
      <c r="I1179" s="117">
        <v>6118.54</v>
      </c>
      <c r="J1179" s="117">
        <v>2441.1</v>
      </c>
      <c r="K1179" s="117">
        <v>202.8</v>
      </c>
      <c r="L1179" s="128">
        <v>161</v>
      </c>
      <c r="M1179" s="126" t="s">
        <v>271</v>
      </c>
      <c r="N1179" s="126" t="s">
        <v>275</v>
      </c>
      <c r="O1179" s="126" t="s">
        <v>296</v>
      </c>
      <c r="P1179" s="117">
        <v>5095413.53</v>
      </c>
      <c r="Q1179" s="117">
        <v>0</v>
      </c>
      <c r="R1179" s="117">
        <v>0</v>
      </c>
      <c r="S1179" s="117">
        <f>P1179-Q1179-R1179</f>
        <v>5095413.53</v>
      </c>
      <c r="T1179" s="118">
        <f t="shared" si="167"/>
        <v>832.78258048488692</v>
      </c>
      <c r="U1179" s="118">
        <f>Y1179</f>
        <v>1089.6622432802596</v>
      </c>
      <c r="V1179" s="183">
        <f t="shared" si="168"/>
        <v>256.87966279537272</v>
      </c>
      <c r="W1179" s="183"/>
      <c r="X1179" s="183"/>
      <c r="Y1179" s="64">
        <f t="shared" si="169"/>
        <v>1089.6622432802596</v>
      </c>
      <c r="AA1179" s="64">
        <f t="shared" si="170"/>
        <v>1276.79</v>
      </c>
      <c r="AH1179" s="64" t="e">
        <f t="shared" si="171"/>
        <v>#N/A</v>
      </c>
      <c r="AS1179" s="64" t="e">
        <f t="shared" si="172"/>
        <v>#N/A</v>
      </c>
      <c r="DT1179" s="119"/>
      <c r="DU1179" s="119"/>
      <c r="DV1179" s="119"/>
      <c r="EJ1179" s="120"/>
      <c r="ES1179" s="121"/>
      <c r="FV1179" s="122"/>
      <c r="GL1179" s="123"/>
    </row>
    <row r="1180" spans="1:194" s="20" customFormat="1" ht="36" customHeight="1" x14ac:dyDescent="0.9">
      <c r="A1180" s="64">
        <v>1</v>
      </c>
      <c r="B1180" s="92">
        <f>SUBTOTAL(103,$A$942:A1180)</f>
        <v>193</v>
      </c>
      <c r="C1180" s="116" t="s">
        <v>164</v>
      </c>
      <c r="D1180" s="126">
        <v>1985</v>
      </c>
      <c r="E1180" s="126"/>
      <c r="F1180" s="147" t="s">
        <v>273</v>
      </c>
      <c r="G1180" s="126">
        <v>5</v>
      </c>
      <c r="H1180" s="126">
        <v>4</v>
      </c>
      <c r="I1180" s="117">
        <v>4844.24</v>
      </c>
      <c r="J1180" s="117">
        <v>1720</v>
      </c>
      <c r="K1180" s="117">
        <v>192.4</v>
      </c>
      <c r="L1180" s="128">
        <v>114</v>
      </c>
      <c r="M1180" s="126" t="s">
        <v>271</v>
      </c>
      <c r="N1180" s="126" t="s">
        <v>275</v>
      </c>
      <c r="O1180" s="126" t="s">
        <v>296</v>
      </c>
      <c r="P1180" s="117">
        <v>3457309.86</v>
      </c>
      <c r="Q1180" s="117">
        <v>0</v>
      </c>
      <c r="R1180" s="117">
        <v>0</v>
      </c>
      <c r="S1180" s="117">
        <f>P1180-Q1180-R1180</f>
        <v>3457309.86</v>
      </c>
      <c r="T1180" s="118">
        <f t="shared" si="167"/>
        <v>713.69499859627103</v>
      </c>
      <c r="U1180" s="118">
        <f>Y1180</f>
        <v>933.84096906841955</v>
      </c>
      <c r="V1180" s="183">
        <f t="shared" si="168"/>
        <v>220.14597047214852</v>
      </c>
      <c r="W1180" s="183"/>
      <c r="X1180" s="183"/>
      <c r="Y1180" s="64">
        <f t="shared" si="169"/>
        <v>933.84096906841955</v>
      </c>
      <c r="AA1180" s="64">
        <f t="shared" si="170"/>
        <v>866.32</v>
      </c>
      <c r="AH1180" s="64" t="e">
        <f t="shared" si="171"/>
        <v>#N/A</v>
      </c>
      <c r="AS1180" s="64" t="e">
        <f t="shared" si="172"/>
        <v>#N/A</v>
      </c>
      <c r="DT1180" s="119"/>
      <c r="DU1180" s="119"/>
      <c r="DV1180" s="119"/>
      <c r="EJ1180" s="120"/>
      <c r="ES1180" s="121"/>
      <c r="FV1180" s="122"/>
      <c r="GL1180" s="123"/>
    </row>
    <row r="1181" spans="1:194" s="20" customFormat="1" ht="36" customHeight="1" x14ac:dyDescent="0.9">
      <c r="A1181" s="64">
        <v>1</v>
      </c>
      <c r="B1181" s="92">
        <f>SUBTOTAL(103,$A$942:A1181)</f>
        <v>194</v>
      </c>
      <c r="C1181" s="116" t="s">
        <v>165</v>
      </c>
      <c r="D1181" s="126">
        <v>1979</v>
      </c>
      <c r="E1181" s="126"/>
      <c r="F1181" s="147" t="s">
        <v>273</v>
      </c>
      <c r="G1181" s="126">
        <v>3</v>
      </c>
      <c r="H1181" s="126">
        <v>3</v>
      </c>
      <c r="I1181" s="117">
        <v>2679.4</v>
      </c>
      <c r="J1181" s="117">
        <v>765.1</v>
      </c>
      <c r="K1181" s="117">
        <v>109.1</v>
      </c>
      <c r="L1181" s="128">
        <v>52</v>
      </c>
      <c r="M1181" s="126" t="s">
        <v>271</v>
      </c>
      <c r="N1181" s="126" t="s">
        <v>275</v>
      </c>
      <c r="O1181" s="126" t="s">
        <v>300</v>
      </c>
      <c r="P1181" s="117">
        <v>3906950.76</v>
      </c>
      <c r="Q1181" s="117">
        <v>0</v>
      </c>
      <c r="R1181" s="117">
        <v>0</v>
      </c>
      <c r="S1181" s="117">
        <f>P1181-Q1181-R1181</f>
        <v>3906950.76</v>
      </c>
      <c r="T1181" s="118">
        <f t="shared" si="167"/>
        <v>1458.1438978875867</v>
      </c>
      <c r="U1181" s="118">
        <f>Y1181</f>
        <v>1458.1438978875867</v>
      </c>
      <c r="V1181" s="183">
        <f t="shared" si="168"/>
        <v>0</v>
      </c>
      <c r="W1181" s="183"/>
      <c r="X1181" s="183"/>
      <c r="Y1181" s="64">
        <f t="shared" si="169"/>
        <v>1458.1438978875867</v>
      </c>
      <c r="AA1181" s="64">
        <f t="shared" si="170"/>
        <v>748.2</v>
      </c>
      <c r="AH1181" s="64" t="e">
        <f t="shared" si="171"/>
        <v>#N/A</v>
      </c>
      <c r="AS1181" s="64" t="e">
        <f t="shared" si="172"/>
        <v>#N/A</v>
      </c>
      <c r="DT1181" s="119"/>
      <c r="DU1181" s="119"/>
      <c r="DV1181" s="119"/>
      <c r="EJ1181" s="120"/>
      <c r="ES1181" s="121"/>
      <c r="FV1181" s="122"/>
      <c r="GL1181" s="123"/>
    </row>
    <row r="1182" spans="1:194" s="64" customFormat="1" ht="36" customHeight="1" x14ac:dyDescent="0.9">
      <c r="B1182" s="91" t="s">
        <v>878</v>
      </c>
      <c r="C1182" s="91"/>
      <c r="D1182" s="126" t="s">
        <v>916</v>
      </c>
      <c r="E1182" s="126" t="s">
        <v>916</v>
      </c>
      <c r="F1182" s="126" t="s">
        <v>916</v>
      </c>
      <c r="G1182" s="126" t="s">
        <v>916</v>
      </c>
      <c r="H1182" s="126" t="s">
        <v>916</v>
      </c>
      <c r="I1182" s="117">
        <f>SUM(I1183:I1186)</f>
        <v>13231.8</v>
      </c>
      <c r="J1182" s="117">
        <f>SUM(J1183:J1186)</f>
        <v>7845</v>
      </c>
      <c r="K1182" s="117">
        <f>SUM(K1183:K1186)</f>
        <v>7498.9</v>
      </c>
      <c r="L1182" s="127">
        <f>SUM(L1183:L1186)</f>
        <v>565</v>
      </c>
      <c r="M1182" s="126" t="s">
        <v>916</v>
      </c>
      <c r="N1182" s="126" t="s">
        <v>916</v>
      </c>
      <c r="O1182" s="124" t="s">
        <v>916</v>
      </c>
      <c r="P1182" s="118">
        <v>11707868.220000001</v>
      </c>
      <c r="Q1182" s="118">
        <f>Q1183+Q1184+Q1185+Q1186</f>
        <v>0</v>
      </c>
      <c r="R1182" s="118">
        <f>R1183+R1184+R1185+R1186</f>
        <v>0</v>
      </c>
      <c r="S1182" s="118">
        <f>S1183+S1184+S1185+S1186</f>
        <v>11707868.220000001</v>
      </c>
      <c r="T1182" s="118">
        <f t="shared" si="167"/>
        <v>884.82808234707306</v>
      </c>
      <c r="U1182" s="118">
        <f>MAX(U1183:U1186)</f>
        <v>2489.2224291497978</v>
      </c>
      <c r="V1182" s="183">
        <f t="shared" si="168"/>
        <v>1604.3943468027246</v>
      </c>
      <c r="W1182" s="183"/>
      <c r="X1182" s="183"/>
      <c r="Y1182" s="64" t="e">
        <f t="shared" si="169"/>
        <v>#N/A</v>
      </c>
      <c r="AA1182" s="64" t="e">
        <f t="shared" si="170"/>
        <v>#N/A</v>
      </c>
      <c r="AH1182" s="64" t="e">
        <f t="shared" si="171"/>
        <v>#N/A</v>
      </c>
      <c r="AS1182" s="64" t="e">
        <f t="shared" si="172"/>
        <v>#N/A</v>
      </c>
    </row>
    <row r="1183" spans="1:194" s="20" customFormat="1" ht="36" customHeight="1" x14ac:dyDescent="0.9">
      <c r="A1183" s="64">
        <v>1</v>
      </c>
      <c r="B1183" s="92">
        <f>SUBTOTAL(103,$A$942:A1183)</f>
        <v>195</v>
      </c>
      <c r="C1183" s="116" t="s">
        <v>158</v>
      </c>
      <c r="D1183" s="126">
        <v>1971</v>
      </c>
      <c r="E1183" s="126"/>
      <c r="F1183" s="147" t="s">
        <v>273</v>
      </c>
      <c r="G1183" s="126">
        <v>5</v>
      </c>
      <c r="H1183" s="126">
        <v>4</v>
      </c>
      <c r="I1183" s="117">
        <v>3186.9</v>
      </c>
      <c r="J1183" s="117">
        <v>1676</v>
      </c>
      <c r="K1183" s="117">
        <v>1676</v>
      </c>
      <c r="L1183" s="128">
        <v>169</v>
      </c>
      <c r="M1183" s="126" t="s">
        <v>271</v>
      </c>
      <c r="N1183" s="126" t="s">
        <v>305</v>
      </c>
      <c r="O1183" s="126" t="s">
        <v>306</v>
      </c>
      <c r="P1183" s="117">
        <v>2147269.5</v>
      </c>
      <c r="Q1183" s="117">
        <v>0</v>
      </c>
      <c r="R1183" s="117">
        <v>0</v>
      </c>
      <c r="S1183" s="117">
        <f>P1183-Q1183-R1183</f>
        <v>2147269.5</v>
      </c>
      <c r="T1183" s="118">
        <f t="shared" si="167"/>
        <v>673.78000564812203</v>
      </c>
      <c r="U1183" s="118">
        <v>673.78</v>
      </c>
      <c r="V1183" s="183">
        <f t="shared" si="168"/>
        <v>-5.6481220553905587E-6</v>
      </c>
      <c r="W1183" s="183"/>
      <c r="X1183" s="183"/>
      <c r="Y1183" s="64" t="e">
        <f t="shared" si="169"/>
        <v>#N/A</v>
      </c>
      <c r="AA1183" s="64" t="e">
        <f t="shared" si="170"/>
        <v>#N/A</v>
      </c>
      <c r="AH1183" s="64" t="e">
        <f t="shared" si="171"/>
        <v>#N/A</v>
      </c>
      <c r="AS1183" s="64" t="e">
        <f t="shared" si="172"/>
        <v>#N/A</v>
      </c>
      <c r="DT1183" s="119"/>
      <c r="DU1183" s="119"/>
      <c r="DV1183" s="119"/>
      <c r="EJ1183" s="120"/>
      <c r="ES1183" s="121"/>
      <c r="FV1183" s="122"/>
      <c r="GL1183" s="123"/>
    </row>
    <row r="1184" spans="1:194" s="20" customFormat="1" ht="36" customHeight="1" x14ac:dyDescent="0.9">
      <c r="A1184" s="64">
        <v>1</v>
      </c>
      <c r="B1184" s="92">
        <f>SUBTOTAL(103,$A$942:A1184)</f>
        <v>196</v>
      </c>
      <c r="C1184" s="116" t="s">
        <v>159</v>
      </c>
      <c r="D1184" s="126">
        <v>1971</v>
      </c>
      <c r="E1184" s="126"/>
      <c r="F1184" s="147" t="s">
        <v>273</v>
      </c>
      <c r="G1184" s="126">
        <v>5</v>
      </c>
      <c r="H1184" s="126">
        <v>3</v>
      </c>
      <c r="I1184" s="117">
        <v>3186.9</v>
      </c>
      <c r="J1184" s="117">
        <v>1676</v>
      </c>
      <c r="K1184" s="117">
        <v>1676</v>
      </c>
      <c r="L1184" s="128">
        <v>175</v>
      </c>
      <c r="M1184" s="126" t="s">
        <v>271</v>
      </c>
      <c r="N1184" s="126" t="s">
        <v>305</v>
      </c>
      <c r="O1184" s="126" t="s">
        <v>307</v>
      </c>
      <c r="P1184" s="117">
        <v>491428.7</v>
      </c>
      <c r="Q1184" s="117">
        <v>0</v>
      </c>
      <c r="R1184" s="117">
        <v>0</v>
      </c>
      <c r="S1184" s="117">
        <f>P1184-Q1184-R1184</f>
        <v>491428.7</v>
      </c>
      <c r="T1184" s="118">
        <f t="shared" si="167"/>
        <v>154.20273620132417</v>
      </c>
      <c r="U1184" s="118">
        <v>392.66207286077378</v>
      </c>
      <c r="V1184" s="183">
        <f t="shared" si="168"/>
        <v>238.4593366594496</v>
      </c>
      <c r="W1184" s="183"/>
      <c r="X1184" s="183"/>
      <c r="Y1184" s="64" t="e">
        <f t="shared" si="169"/>
        <v>#N/A</v>
      </c>
      <c r="AA1184" s="64" t="e">
        <f t="shared" si="170"/>
        <v>#N/A</v>
      </c>
      <c r="AH1184" s="64" t="e">
        <f t="shared" si="171"/>
        <v>#N/A</v>
      </c>
      <c r="AS1184" s="64" t="e">
        <f t="shared" si="172"/>
        <v>#N/A</v>
      </c>
      <c r="DT1184" s="119"/>
      <c r="DU1184" s="119"/>
      <c r="DV1184" s="119"/>
      <c r="EJ1184" s="120"/>
      <c r="ES1184" s="121"/>
      <c r="FV1184" s="122"/>
      <c r="GL1184" s="123"/>
    </row>
    <row r="1185" spans="1:194" s="20" customFormat="1" ht="36" customHeight="1" x14ac:dyDescent="0.9">
      <c r="A1185" s="64">
        <v>1</v>
      </c>
      <c r="B1185" s="92">
        <f>SUBTOTAL(103,$A$942:A1185)</f>
        <v>197</v>
      </c>
      <c r="C1185" s="116" t="s">
        <v>161</v>
      </c>
      <c r="D1185" s="126">
        <v>1979</v>
      </c>
      <c r="E1185" s="126"/>
      <c r="F1185" s="147" t="s">
        <v>273</v>
      </c>
      <c r="G1185" s="126">
        <v>2</v>
      </c>
      <c r="H1185" s="126">
        <v>3</v>
      </c>
      <c r="I1185" s="117">
        <v>1556.1</v>
      </c>
      <c r="J1185" s="117">
        <v>863</v>
      </c>
      <c r="K1185" s="117">
        <v>863</v>
      </c>
      <c r="L1185" s="128">
        <v>32</v>
      </c>
      <c r="M1185" s="126" t="s">
        <v>271</v>
      </c>
      <c r="N1185" s="126" t="s">
        <v>275</v>
      </c>
      <c r="O1185" s="126" t="s">
        <v>300</v>
      </c>
      <c r="P1185" s="117">
        <v>3873479.02</v>
      </c>
      <c r="Q1185" s="117">
        <v>0</v>
      </c>
      <c r="R1185" s="117">
        <v>0</v>
      </c>
      <c r="S1185" s="117">
        <f>P1185-Q1185-R1185</f>
        <v>3873479.02</v>
      </c>
      <c r="T1185" s="118">
        <f t="shared" si="167"/>
        <v>2489.2224278645331</v>
      </c>
      <c r="U1185" s="118">
        <f>Y1185</f>
        <v>2489.2224291497978</v>
      </c>
      <c r="V1185" s="183">
        <f t="shared" si="168"/>
        <v>1.2852647159888875E-6</v>
      </c>
      <c r="W1185" s="183"/>
      <c r="X1185" s="183"/>
      <c r="Y1185" s="64">
        <f t="shared" si="169"/>
        <v>2489.2224291497978</v>
      </c>
      <c r="AA1185" s="64">
        <f t="shared" si="170"/>
        <v>741.79</v>
      </c>
      <c r="AH1185" s="64" t="e">
        <f t="shared" si="171"/>
        <v>#N/A</v>
      </c>
      <c r="AS1185" s="64" t="e">
        <f t="shared" si="172"/>
        <v>#N/A</v>
      </c>
      <c r="DT1185" s="119"/>
      <c r="DU1185" s="119"/>
      <c r="DV1185" s="119"/>
      <c r="EJ1185" s="120"/>
      <c r="ES1185" s="121"/>
      <c r="FV1185" s="122"/>
      <c r="GL1185" s="123"/>
    </row>
    <row r="1186" spans="1:194" s="20" customFormat="1" ht="36" customHeight="1" x14ac:dyDescent="0.9">
      <c r="A1186" s="64">
        <v>1</v>
      </c>
      <c r="B1186" s="92">
        <f>SUBTOTAL(103,$A$942:A1186)</f>
        <v>198</v>
      </c>
      <c r="C1186" s="116" t="s">
        <v>139</v>
      </c>
      <c r="D1186" s="126">
        <v>1990</v>
      </c>
      <c r="E1186" s="126"/>
      <c r="F1186" s="147" t="s">
        <v>273</v>
      </c>
      <c r="G1186" s="126">
        <v>5</v>
      </c>
      <c r="H1186" s="126">
        <v>5</v>
      </c>
      <c r="I1186" s="117">
        <v>5301.9</v>
      </c>
      <c r="J1186" s="117">
        <v>3630</v>
      </c>
      <c r="K1186" s="117">
        <v>3283.9</v>
      </c>
      <c r="L1186" s="128">
        <v>189</v>
      </c>
      <c r="M1186" s="126" t="s">
        <v>271</v>
      </c>
      <c r="N1186" s="126" t="s">
        <v>275</v>
      </c>
      <c r="O1186" s="126" t="s">
        <v>300</v>
      </c>
      <c r="P1186" s="117">
        <v>5195691</v>
      </c>
      <c r="Q1186" s="117">
        <v>0</v>
      </c>
      <c r="R1186" s="117">
        <v>0</v>
      </c>
      <c r="S1186" s="117">
        <f>P1186-Q1186-R1186</f>
        <v>5195691</v>
      </c>
      <c r="T1186" s="118">
        <f t="shared" ref="T1186:T1212" si="173">P1186/I1186</f>
        <v>979.96774741130548</v>
      </c>
      <c r="U1186" s="118">
        <f>Y1186</f>
        <v>979.96774741130548</v>
      </c>
      <c r="V1186" s="183">
        <f t="shared" si="168"/>
        <v>0</v>
      </c>
      <c r="W1186" s="183"/>
      <c r="X1186" s="183"/>
      <c r="Y1186" s="64">
        <f t="shared" si="169"/>
        <v>979.96774741130548</v>
      </c>
      <c r="AA1186" s="64">
        <f t="shared" si="170"/>
        <v>995</v>
      </c>
      <c r="AH1186" s="64" t="e">
        <f t="shared" si="171"/>
        <v>#N/A</v>
      </c>
      <c r="AS1186" s="64" t="e">
        <f t="shared" si="172"/>
        <v>#N/A</v>
      </c>
      <c r="DT1186" s="119"/>
      <c r="DU1186" s="119"/>
      <c r="DV1186" s="119"/>
      <c r="EJ1186" s="120"/>
      <c r="ES1186" s="121"/>
      <c r="FV1186" s="122"/>
      <c r="GL1186" s="123"/>
    </row>
    <row r="1187" spans="1:194" s="64" customFormat="1" ht="36" customHeight="1" x14ac:dyDescent="0.9">
      <c r="B1187" s="91" t="s">
        <v>879</v>
      </c>
      <c r="C1187" s="172"/>
      <c r="D1187" s="126" t="s">
        <v>916</v>
      </c>
      <c r="E1187" s="126" t="s">
        <v>916</v>
      </c>
      <c r="F1187" s="126" t="s">
        <v>916</v>
      </c>
      <c r="G1187" s="126" t="s">
        <v>916</v>
      </c>
      <c r="H1187" s="126" t="s">
        <v>916</v>
      </c>
      <c r="I1187" s="117">
        <f>SUM(I1188:I1189)</f>
        <v>5101.2</v>
      </c>
      <c r="J1187" s="117">
        <f>SUM(J1188:J1189)</f>
        <v>4560.8999999999996</v>
      </c>
      <c r="K1187" s="117">
        <f>SUM(K1188:K1189)</f>
        <v>3873.8</v>
      </c>
      <c r="L1187" s="127">
        <f>SUM(L1188:L1189)</f>
        <v>164</v>
      </c>
      <c r="M1187" s="126" t="s">
        <v>916</v>
      </c>
      <c r="N1187" s="126" t="s">
        <v>916</v>
      </c>
      <c r="O1187" s="124" t="s">
        <v>916</v>
      </c>
      <c r="P1187" s="118">
        <v>9221698.8000000007</v>
      </c>
      <c r="Q1187" s="118">
        <f>Q1188+Q1189</f>
        <v>0</v>
      </c>
      <c r="R1187" s="118">
        <f>R1188+R1189</f>
        <v>0</v>
      </c>
      <c r="S1187" s="118">
        <f>S1188+S1189</f>
        <v>9221698.8000000007</v>
      </c>
      <c r="T1187" s="118">
        <f t="shared" si="173"/>
        <v>1807.7508821453778</v>
      </c>
      <c r="U1187" s="118">
        <f>MAX(U1188:U1189)</f>
        <v>2528.257580342553</v>
      </c>
      <c r="V1187" s="183">
        <f t="shared" si="168"/>
        <v>720.50669819717518</v>
      </c>
      <c r="W1187" s="183"/>
      <c r="X1187" s="183"/>
      <c r="Y1187" s="64" t="e">
        <f t="shared" si="169"/>
        <v>#N/A</v>
      </c>
      <c r="AA1187" s="64" t="e">
        <f t="shared" si="170"/>
        <v>#N/A</v>
      </c>
      <c r="AH1187" s="64" t="e">
        <f t="shared" si="171"/>
        <v>#N/A</v>
      </c>
      <c r="AS1187" s="64" t="e">
        <f t="shared" si="172"/>
        <v>#N/A</v>
      </c>
    </row>
    <row r="1188" spans="1:194" s="20" customFormat="1" ht="36" customHeight="1" x14ac:dyDescent="0.9">
      <c r="A1188" s="64">
        <v>1</v>
      </c>
      <c r="B1188" s="92">
        <f>SUBTOTAL(103,$A$942:A1188)</f>
        <v>199</v>
      </c>
      <c r="C1188" s="116" t="s">
        <v>101</v>
      </c>
      <c r="D1188" s="126">
        <v>1985</v>
      </c>
      <c r="E1188" s="126"/>
      <c r="F1188" s="147" t="s">
        <v>273</v>
      </c>
      <c r="G1188" s="126">
        <v>3</v>
      </c>
      <c r="H1188" s="126">
        <v>3</v>
      </c>
      <c r="I1188" s="117">
        <v>1652.3</v>
      </c>
      <c r="J1188" s="117">
        <v>1350.8</v>
      </c>
      <c r="K1188" s="117">
        <v>1350.8</v>
      </c>
      <c r="L1188" s="128">
        <v>61</v>
      </c>
      <c r="M1188" s="126" t="s">
        <v>271</v>
      </c>
      <c r="N1188" s="126" t="s">
        <v>275</v>
      </c>
      <c r="O1188" s="126" t="s">
        <v>288</v>
      </c>
      <c r="P1188" s="117">
        <v>4177440</v>
      </c>
      <c r="Q1188" s="117">
        <v>0</v>
      </c>
      <c r="R1188" s="117">
        <v>0</v>
      </c>
      <c r="S1188" s="117">
        <f>P1188-Q1188-R1188</f>
        <v>4177440</v>
      </c>
      <c r="T1188" s="118">
        <f t="shared" si="173"/>
        <v>2528.257580342553</v>
      </c>
      <c r="U1188" s="118">
        <f>Y1188</f>
        <v>2528.257580342553</v>
      </c>
      <c r="V1188" s="183">
        <f t="shared" si="168"/>
        <v>0</v>
      </c>
      <c r="W1188" s="183"/>
      <c r="X1188" s="183"/>
      <c r="Y1188" s="64">
        <f t="shared" si="169"/>
        <v>2528.257580342553</v>
      </c>
      <c r="AA1188" s="64">
        <f t="shared" si="170"/>
        <v>800</v>
      </c>
      <c r="AH1188" s="64" t="e">
        <f t="shared" si="171"/>
        <v>#N/A</v>
      </c>
      <c r="AS1188" s="64" t="e">
        <f t="shared" si="172"/>
        <v>#N/A</v>
      </c>
      <c r="DT1188" s="119"/>
      <c r="DU1188" s="119"/>
      <c r="DV1188" s="119"/>
      <c r="EJ1188" s="120"/>
      <c r="ES1188" s="121"/>
      <c r="FV1188" s="122"/>
      <c r="GL1188" s="123"/>
    </row>
    <row r="1189" spans="1:194" s="20" customFormat="1" ht="36" customHeight="1" x14ac:dyDescent="0.9">
      <c r="A1189" s="64">
        <v>1</v>
      </c>
      <c r="B1189" s="92">
        <f>SUBTOTAL(103,$A$942:A1189)</f>
        <v>200</v>
      </c>
      <c r="C1189" s="116" t="s">
        <v>102</v>
      </c>
      <c r="D1189" s="126">
        <v>1972</v>
      </c>
      <c r="E1189" s="126"/>
      <c r="F1189" s="147" t="s">
        <v>273</v>
      </c>
      <c r="G1189" s="126">
        <v>5</v>
      </c>
      <c r="H1189" s="126">
        <v>4</v>
      </c>
      <c r="I1189" s="117">
        <v>3448.9</v>
      </c>
      <c r="J1189" s="117">
        <v>3210.1</v>
      </c>
      <c r="K1189" s="117">
        <v>2523</v>
      </c>
      <c r="L1189" s="128">
        <v>103</v>
      </c>
      <c r="M1189" s="126" t="s">
        <v>271</v>
      </c>
      <c r="N1189" s="126" t="s">
        <v>275</v>
      </c>
      <c r="O1189" s="126" t="s">
        <v>286</v>
      </c>
      <c r="P1189" s="117">
        <v>5044258.8</v>
      </c>
      <c r="Q1189" s="117">
        <v>0</v>
      </c>
      <c r="R1189" s="117">
        <v>0</v>
      </c>
      <c r="S1189" s="117">
        <f>P1189-Q1189-R1189</f>
        <v>5044258.8</v>
      </c>
      <c r="T1189" s="118">
        <f t="shared" si="173"/>
        <v>1462.5703267708543</v>
      </c>
      <c r="U1189" s="118">
        <f>Y1189</f>
        <v>1462.5703267708543</v>
      </c>
      <c r="V1189" s="183">
        <f t="shared" si="168"/>
        <v>0</v>
      </c>
      <c r="W1189" s="183"/>
      <c r="X1189" s="183"/>
      <c r="Y1189" s="64">
        <f t="shared" si="169"/>
        <v>1462.5703267708543</v>
      </c>
      <c r="AA1189" s="64">
        <f t="shared" si="170"/>
        <v>966</v>
      </c>
      <c r="AH1189" s="64" t="e">
        <f t="shared" si="171"/>
        <v>#N/A</v>
      </c>
      <c r="AS1189" s="64" t="e">
        <f t="shared" si="172"/>
        <v>#N/A</v>
      </c>
      <c r="DT1189" s="119"/>
      <c r="DU1189" s="119"/>
      <c r="DV1189" s="119"/>
      <c r="EJ1189" s="120"/>
      <c r="ES1189" s="121"/>
      <c r="FV1189" s="122"/>
      <c r="GL1189" s="123"/>
    </row>
    <row r="1190" spans="1:194" s="64" customFormat="1" ht="36" customHeight="1" x14ac:dyDescent="0.9">
      <c r="B1190" s="91" t="s">
        <v>906</v>
      </c>
      <c r="C1190" s="91"/>
      <c r="D1190" s="126" t="s">
        <v>916</v>
      </c>
      <c r="E1190" s="126" t="s">
        <v>916</v>
      </c>
      <c r="F1190" s="126" t="s">
        <v>916</v>
      </c>
      <c r="G1190" s="126" t="s">
        <v>916</v>
      </c>
      <c r="H1190" s="126" t="s">
        <v>916</v>
      </c>
      <c r="I1190" s="117">
        <f>I1191</f>
        <v>783.81</v>
      </c>
      <c r="J1190" s="117">
        <f>J1191</f>
        <v>668.19</v>
      </c>
      <c r="K1190" s="117">
        <f>K1191</f>
        <v>668.19</v>
      </c>
      <c r="L1190" s="127">
        <f>L1191</f>
        <v>28</v>
      </c>
      <c r="M1190" s="126" t="s">
        <v>916</v>
      </c>
      <c r="N1190" s="126" t="s">
        <v>916</v>
      </c>
      <c r="O1190" s="124" t="s">
        <v>916</v>
      </c>
      <c r="P1190" s="118">
        <v>3623929.1999999997</v>
      </c>
      <c r="Q1190" s="118">
        <f>Q1191</f>
        <v>0</v>
      </c>
      <c r="R1190" s="118">
        <f>R1191</f>
        <v>0</v>
      </c>
      <c r="S1190" s="118">
        <f>S1191</f>
        <v>3623929.1999999997</v>
      </c>
      <c r="T1190" s="118">
        <f t="shared" si="173"/>
        <v>4623.4791594901826</v>
      </c>
      <c r="U1190" s="118">
        <f>U1191</f>
        <v>4623.4791594901835</v>
      </c>
      <c r="V1190" s="183">
        <f t="shared" si="168"/>
        <v>0</v>
      </c>
      <c r="W1190" s="183"/>
      <c r="X1190" s="183"/>
      <c r="Y1190" s="64" t="e">
        <f t="shared" si="169"/>
        <v>#N/A</v>
      </c>
      <c r="AA1190" s="64" t="e">
        <f t="shared" si="170"/>
        <v>#N/A</v>
      </c>
      <c r="AH1190" s="64" t="e">
        <f t="shared" si="171"/>
        <v>#N/A</v>
      </c>
      <c r="AS1190" s="64" t="e">
        <f t="shared" si="172"/>
        <v>#N/A</v>
      </c>
    </row>
    <row r="1191" spans="1:194" s="20" customFormat="1" ht="36" customHeight="1" x14ac:dyDescent="0.9">
      <c r="A1191" s="64">
        <v>1</v>
      </c>
      <c r="B1191" s="92">
        <f>SUBTOTAL(103,$A$942:A1191)</f>
        <v>201</v>
      </c>
      <c r="C1191" s="116" t="s">
        <v>106</v>
      </c>
      <c r="D1191" s="126">
        <v>1968</v>
      </c>
      <c r="E1191" s="126"/>
      <c r="F1191" s="147" t="s">
        <v>273</v>
      </c>
      <c r="G1191" s="126">
        <v>2</v>
      </c>
      <c r="H1191" s="126">
        <v>2</v>
      </c>
      <c r="I1191" s="117">
        <v>783.81</v>
      </c>
      <c r="J1191" s="117">
        <v>668.19</v>
      </c>
      <c r="K1191" s="117">
        <v>668.19</v>
      </c>
      <c r="L1191" s="128">
        <v>28</v>
      </c>
      <c r="M1191" s="126" t="s">
        <v>271</v>
      </c>
      <c r="N1191" s="126" t="s">
        <v>275</v>
      </c>
      <c r="O1191" s="126" t="s">
        <v>288</v>
      </c>
      <c r="P1191" s="117">
        <v>3623929.1999999997</v>
      </c>
      <c r="Q1191" s="117">
        <v>0</v>
      </c>
      <c r="R1191" s="117">
        <v>0</v>
      </c>
      <c r="S1191" s="117">
        <f>P1191-Q1191-R1191</f>
        <v>3623929.1999999997</v>
      </c>
      <c r="T1191" s="118">
        <f t="shared" si="173"/>
        <v>4623.4791594901826</v>
      </c>
      <c r="U1191" s="118">
        <f>Y1191</f>
        <v>4623.4791594901835</v>
      </c>
      <c r="V1191" s="183">
        <f t="shared" si="168"/>
        <v>0</v>
      </c>
      <c r="W1191" s="183"/>
      <c r="X1191" s="183"/>
      <c r="Y1191" s="64">
        <f t="shared" si="169"/>
        <v>4623.4791594901835</v>
      </c>
      <c r="AA1191" s="64">
        <f t="shared" si="170"/>
        <v>694</v>
      </c>
      <c r="AH1191" s="64" t="e">
        <f t="shared" si="171"/>
        <v>#N/A</v>
      </c>
      <c r="AS1191" s="64" t="e">
        <f t="shared" si="172"/>
        <v>#N/A</v>
      </c>
      <c r="DT1191" s="119"/>
      <c r="DU1191" s="119"/>
      <c r="DV1191" s="119"/>
      <c r="EJ1191" s="120"/>
      <c r="ES1191" s="121"/>
      <c r="FV1191" s="122"/>
      <c r="GL1191" s="123"/>
    </row>
    <row r="1192" spans="1:194" s="64" customFormat="1" ht="36" customHeight="1" x14ac:dyDescent="0.9">
      <c r="B1192" s="91" t="s">
        <v>880</v>
      </c>
      <c r="C1192" s="91"/>
      <c r="D1192" s="126" t="s">
        <v>916</v>
      </c>
      <c r="E1192" s="126" t="s">
        <v>916</v>
      </c>
      <c r="F1192" s="126" t="s">
        <v>916</v>
      </c>
      <c r="G1192" s="126" t="s">
        <v>916</v>
      </c>
      <c r="H1192" s="126" t="s">
        <v>916</v>
      </c>
      <c r="I1192" s="117">
        <f>I1193</f>
        <v>680.2</v>
      </c>
      <c r="J1192" s="117">
        <f>J1193</f>
        <v>617.70000000000005</v>
      </c>
      <c r="K1192" s="117">
        <f>K1193</f>
        <v>617.70000000000005</v>
      </c>
      <c r="L1192" s="127">
        <f>L1193</f>
        <v>32</v>
      </c>
      <c r="M1192" s="126" t="s">
        <v>916</v>
      </c>
      <c r="N1192" s="126" t="s">
        <v>916</v>
      </c>
      <c r="O1192" s="124" t="s">
        <v>916</v>
      </c>
      <c r="P1192" s="118">
        <v>3080862</v>
      </c>
      <c r="Q1192" s="118">
        <f>Q1193</f>
        <v>0</v>
      </c>
      <c r="R1192" s="118">
        <f>R1193</f>
        <v>0</v>
      </c>
      <c r="S1192" s="118">
        <f>S1193</f>
        <v>3080862</v>
      </c>
      <c r="T1192" s="118">
        <f t="shared" si="173"/>
        <v>4529.3472508085852</v>
      </c>
      <c r="U1192" s="118">
        <f>U1193</f>
        <v>4529.3472508085852</v>
      </c>
      <c r="V1192" s="183">
        <f t="shared" si="168"/>
        <v>0</v>
      </c>
      <c r="W1192" s="183"/>
      <c r="X1192" s="183"/>
      <c r="Y1192" s="64" t="e">
        <f t="shared" si="169"/>
        <v>#N/A</v>
      </c>
      <c r="AA1192" s="64" t="e">
        <f t="shared" si="170"/>
        <v>#N/A</v>
      </c>
      <c r="AH1192" s="64" t="e">
        <f t="shared" si="171"/>
        <v>#N/A</v>
      </c>
      <c r="AS1192" s="64" t="e">
        <f t="shared" si="172"/>
        <v>#N/A</v>
      </c>
    </row>
    <row r="1193" spans="1:194" s="20" customFormat="1" ht="36" customHeight="1" x14ac:dyDescent="0.9">
      <c r="A1193" s="64">
        <v>1</v>
      </c>
      <c r="B1193" s="92">
        <f>SUBTOTAL(103,$A$942:A1193)</f>
        <v>202</v>
      </c>
      <c r="C1193" s="116" t="s">
        <v>103</v>
      </c>
      <c r="D1193" s="126">
        <v>1961</v>
      </c>
      <c r="E1193" s="126"/>
      <c r="F1193" s="147" t="s">
        <v>273</v>
      </c>
      <c r="G1193" s="126">
        <v>2</v>
      </c>
      <c r="H1193" s="126">
        <v>2</v>
      </c>
      <c r="I1193" s="117">
        <v>680.2</v>
      </c>
      <c r="J1193" s="117">
        <v>617.70000000000005</v>
      </c>
      <c r="K1193" s="117">
        <v>617.70000000000005</v>
      </c>
      <c r="L1193" s="128">
        <v>32</v>
      </c>
      <c r="M1193" s="126" t="s">
        <v>271</v>
      </c>
      <c r="N1193" s="126" t="s">
        <v>275</v>
      </c>
      <c r="O1193" s="126" t="s">
        <v>1022</v>
      </c>
      <c r="P1193" s="117">
        <v>3080862</v>
      </c>
      <c r="Q1193" s="117">
        <v>0</v>
      </c>
      <c r="R1193" s="117">
        <v>0</v>
      </c>
      <c r="S1193" s="117">
        <f>P1193-Q1193-R1193</f>
        <v>3080862</v>
      </c>
      <c r="T1193" s="118">
        <f t="shared" si="173"/>
        <v>4529.3472508085852</v>
      </c>
      <c r="U1193" s="118">
        <f>Y1193</f>
        <v>4529.3472508085852</v>
      </c>
      <c r="V1193" s="183">
        <f t="shared" si="168"/>
        <v>0</v>
      </c>
      <c r="W1193" s="183"/>
      <c r="X1193" s="183"/>
      <c r="Y1193" s="64">
        <f t="shared" si="169"/>
        <v>4529.3472508085852</v>
      </c>
      <c r="AA1193" s="64">
        <f t="shared" si="170"/>
        <v>590</v>
      </c>
      <c r="AH1193" s="64" t="e">
        <f t="shared" si="171"/>
        <v>#N/A</v>
      </c>
      <c r="AS1193" s="64" t="e">
        <f t="shared" si="172"/>
        <v>#N/A</v>
      </c>
      <c r="DT1193" s="119"/>
      <c r="DU1193" s="119"/>
      <c r="DV1193" s="119"/>
      <c r="EJ1193" s="120"/>
      <c r="ES1193" s="121"/>
      <c r="FV1193" s="122"/>
      <c r="GL1193" s="123"/>
    </row>
    <row r="1194" spans="1:194" s="64" customFormat="1" ht="36" customHeight="1" x14ac:dyDescent="0.9">
      <c r="B1194" s="91" t="s">
        <v>881</v>
      </c>
      <c r="C1194" s="91"/>
      <c r="D1194" s="126" t="s">
        <v>916</v>
      </c>
      <c r="E1194" s="126" t="s">
        <v>916</v>
      </c>
      <c r="F1194" s="126" t="s">
        <v>916</v>
      </c>
      <c r="G1194" s="126" t="s">
        <v>916</v>
      </c>
      <c r="H1194" s="126" t="s">
        <v>916</v>
      </c>
      <c r="I1194" s="117">
        <f>SUM(I1195:I1196)</f>
        <v>646.4</v>
      </c>
      <c r="J1194" s="117">
        <f>SUM(J1195:J1196)</f>
        <v>546.1</v>
      </c>
      <c r="K1194" s="117">
        <f>SUM(K1195:K1196)</f>
        <v>546.1</v>
      </c>
      <c r="L1194" s="127">
        <f>SUM(L1195:L1196)</f>
        <v>28</v>
      </c>
      <c r="M1194" s="126" t="s">
        <v>916</v>
      </c>
      <c r="N1194" s="126" t="s">
        <v>916</v>
      </c>
      <c r="O1194" s="124" t="s">
        <v>916</v>
      </c>
      <c r="P1194" s="118">
        <v>2610892.59</v>
      </c>
      <c r="Q1194" s="118">
        <f>Q1195+Q1196</f>
        <v>0</v>
      </c>
      <c r="R1194" s="118">
        <f>R1195+R1196</f>
        <v>0</v>
      </c>
      <c r="S1194" s="118">
        <f>S1195+S1196</f>
        <v>2610892.59</v>
      </c>
      <c r="T1194" s="118">
        <f t="shared" si="173"/>
        <v>4039.1283879950493</v>
      </c>
      <c r="U1194" s="118">
        <f>MAX(U1195:U1196)</f>
        <v>4244.1085883514324</v>
      </c>
      <c r="V1194" s="183">
        <f t="shared" si="168"/>
        <v>204.98020035638319</v>
      </c>
      <c r="W1194" s="183"/>
      <c r="X1194" s="183"/>
      <c r="Y1194" s="64" t="e">
        <f t="shared" si="169"/>
        <v>#N/A</v>
      </c>
      <c r="AA1194" s="64" t="e">
        <f t="shared" si="170"/>
        <v>#N/A</v>
      </c>
      <c r="AH1194" s="64" t="e">
        <f t="shared" si="171"/>
        <v>#N/A</v>
      </c>
      <c r="AS1194" s="64" t="e">
        <f t="shared" si="172"/>
        <v>#N/A</v>
      </c>
    </row>
    <row r="1195" spans="1:194" s="20" customFormat="1" ht="36" customHeight="1" x14ac:dyDescent="0.9">
      <c r="A1195" s="64">
        <v>1</v>
      </c>
      <c r="B1195" s="92">
        <f>SUBTOTAL(103,$A$942:A1195)</f>
        <v>203</v>
      </c>
      <c r="C1195" s="116" t="s">
        <v>104</v>
      </c>
      <c r="D1195" s="126">
        <v>1966</v>
      </c>
      <c r="E1195" s="126"/>
      <c r="F1195" s="147" t="s">
        <v>273</v>
      </c>
      <c r="G1195" s="126">
        <v>2</v>
      </c>
      <c r="H1195" s="126">
        <v>1</v>
      </c>
      <c r="I1195" s="117">
        <v>342.5</v>
      </c>
      <c r="J1195" s="117">
        <v>273.8</v>
      </c>
      <c r="K1195" s="117">
        <v>273.8</v>
      </c>
      <c r="L1195" s="128">
        <v>18</v>
      </c>
      <c r="M1195" s="126" t="s">
        <v>271</v>
      </c>
      <c r="N1195" s="126" t="s">
        <v>275</v>
      </c>
      <c r="O1195" s="126" t="s">
        <v>288</v>
      </c>
      <c r="P1195" s="117">
        <v>1321115.3999999999</v>
      </c>
      <c r="Q1195" s="117">
        <v>0</v>
      </c>
      <c r="R1195" s="117">
        <v>0</v>
      </c>
      <c r="S1195" s="117">
        <f>P1195-Q1195-R1195</f>
        <v>1321115.3999999999</v>
      </c>
      <c r="T1195" s="118">
        <f t="shared" si="173"/>
        <v>3857.2712408759121</v>
      </c>
      <c r="U1195" s="118">
        <f>Y1195</f>
        <v>3857.271240875913</v>
      </c>
      <c r="V1195" s="183">
        <f t="shared" si="168"/>
        <v>0</v>
      </c>
      <c r="W1195" s="183"/>
      <c r="X1195" s="183"/>
      <c r="Y1195" s="64">
        <f t="shared" si="169"/>
        <v>3857.271240875913</v>
      </c>
      <c r="AA1195" s="64">
        <f t="shared" si="170"/>
        <v>253</v>
      </c>
      <c r="AH1195" s="64" t="e">
        <f t="shared" si="171"/>
        <v>#N/A</v>
      </c>
      <c r="AS1195" s="64" t="e">
        <f t="shared" si="172"/>
        <v>#N/A</v>
      </c>
      <c r="DT1195" s="119"/>
      <c r="DU1195" s="119"/>
      <c r="DV1195" s="119"/>
      <c r="EJ1195" s="120"/>
      <c r="ES1195" s="121"/>
      <c r="FV1195" s="122"/>
      <c r="GL1195" s="123"/>
    </row>
    <row r="1196" spans="1:194" s="20" customFormat="1" ht="36" customHeight="1" x14ac:dyDescent="0.9">
      <c r="A1196" s="64">
        <v>1</v>
      </c>
      <c r="B1196" s="92">
        <f>SUBTOTAL(103,$A$942:A1196)</f>
        <v>204</v>
      </c>
      <c r="C1196" s="116" t="s">
        <v>105</v>
      </c>
      <c r="D1196" s="126">
        <v>1970</v>
      </c>
      <c r="E1196" s="126"/>
      <c r="F1196" s="147" t="s">
        <v>273</v>
      </c>
      <c r="G1196" s="126">
        <v>2</v>
      </c>
      <c r="H1196" s="126">
        <v>1</v>
      </c>
      <c r="I1196" s="117">
        <v>303.89999999999998</v>
      </c>
      <c r="J1196" s="117">
        <v>272.3</v>
      </c>
      <c r="K1196" s="117">
        <v>272.3</v>
      </c>
      <c r="L1196" s="128">
        <v>10</v>
      </c>
      <c r="M1196" s="126" t="s">
        <v>271</v>
      </c>
      <c r="N1196" s="126" t="s">
        <v>275</v>
      </c>
      <c r="O1196" s="126" t="s">
        <v>288</v>
      </c>
      <c r="P1196" s="117">
        <v>1289777.1900000002</v>
      </c>
      <c r="Q1196" s="117">
        <v>0</v>
      </c>
      <c r="R1196" s="117">
        <v>0</v>
      </c>
      <c r="S1196" s="117">
        <f>P1196-Q1196-R1196</f>
        <v>1289777.1900000002</v>
      </c>
      <c r="T1196" s="118">
        <f t="shared" si="173"/>
        <v>4244.0842053307015</v>
      </c>
      <c r="U1196" s="118">
        <f>Y1196</f>
        <v>4244.1085883514324</v>
      </c>
      <c r="V1196" s="183">
        <f t="shared" si="168"/>
        <v>2.4383020730965654E-2</v>
      </c>
      <c r="W1196" s="183"/>
      <c r="X1196" s="183"/>
      <c r="Y1196" s="64">
        <f t="shared" si="169"/>
        <v>4244.1085883514324</v>
      </c>
      <c r="AA1196" s="64">
        <f t="shared" si="170"/>
        <v>247</v>
      </c>
      <c r="AH1196" s="64" t="e">
        <f t="shared" si="171"/>
        <v>#N/A</v>
      </c>
      <c r="AS1196" s="64" t="e">
        <f t="shared" si="172"/>
        <v>#N/A</v>
      </c>
      <c r="DT1196" s="119"/>
      <c r="DU1196" s="119"/>
      <c r="DV1196" s="119"/>
      <c r="EJ1196" s="120"/>
      <c r="ES1196" s="121"/>
      <c r="FV1196" s="122"/>
      <c r="GL1196" s="123"/>
    </row>
    <row r="1197" spans="1:194" s="64" customFormat="1" ht="36" customHeight="1" x14ac:dyDescent="0.9">
      <c r="B1197" s="91" t="s">
        <v>883</v>
      </c>
      <c r="C1197" s="172"/>
      <c r="D1197" s="126" t="s">
        <v>916</v>
      </c>
      <c r="E1197" s="126" t="s">
        <v>916</v>
      </c>
      <c r="F1197" s="126" t="s">
        <v>916</v>
      </c>
      <c r="G1197" s="126" t="s">
        <v>916</v>
      </c>
      <c r="H1197" s="126" t="s">
        <v>916</v>
      </c>
      <c r="I1197" s="117">
        <f>SUM(I1198:I1200)</f>
        <v>2009.6000000000001</v>
      </c>
      <c r="J1197" s="117">
        <f>SUM(J1198:J1200)</f>
        <v>1550.3999999999999</v>
      </c>
      <c r="K1197" s="117">
        <f>SUM(K1198:K1200)</f>
        <v>1491.6</v>
      </c>
      <c r="L1197" s="127">
        <f>SUM(L1198:L1200)</f>
        <v>77</v>
      </c>
      <c r="M1197" s="126" t="s">
        <v>916</v>
      </c>
      <c r="N1197" s="126" t="s">
        <v>916</v>
      </c>
      <c r="O1197" s="124" t="s">
        <v>916</v>
      </c>
      <c r="P1197" s="118">
        <v>6332416.4000000004</v>
      </c>
      <c r="Q1197" s="118">
        <f>Q1198+Q1199+Q1200</f>
        <v>0</v>
      </c>
      <c r="R1197" s="118">
        <f>R1198+R1199+R1200</f>
        <v>0</v>
      </c>
      <c r="S1197" s="118">
        <f>S1198+S1199+S1200</f>
        <v>6332416.4000000004</v>
      </c>
      <c r="T1197" s="118">
        <f t="shared" si="173"/>
        <v>3151.0830015923566</v>
      </c>
      <c r="U1197" s="118">
        <f>MAX(U1198:U1200)</f>
        <v>5763.1223404255315</v>
      </c>
      <c r="V1197" s="183">
        <f t="shared" si="168"/>
        <v>2612.039338833175</v>
      </c>
      <c r="W1197" s="183"/>
      <c r="X1197" s="183"/>
      <c r="Y1197" s="64" t="e">
        <f t="shared" si="169"/>
        <v>#N/A</v>
      </c>
      <c r="AA1197" s="64" t="e">
        <f t="shared" si="170"/>
        <v>#N/A</v>
      </c>
      <c r="AH1197" s="64" t="e">
        <f t="shared" si="171"/>
        <v>#N/A</v>
      </c>
      <c r="AS1197" s="64" t="e">
        <f t="shared" si="172"/>
        <v>#N/A</v>
      </c>
    </row>
    <row r="1198" spans="1:194" s="20" customFormat="1" ht="36" customHeight="1" x14ac:dyDescent="0.9">
      <c r="A1198" s="64">
        <v>1</v>
      </c>
      <c r="B1198" s="92">
        <f>SUBTOTAL(103,$A$942:A1198)</f>
        <v>205</v>
      </c>
      <c r="C1198" s="116" t="s">
        <v>198</v>
      </c>
      <c r="D1198" s="126" t="s">
        <v>321</v>
      </c>
      <c r="E1198" s="126"/>
      <c r="F1198" s="147" t="s">
        <v>273</v>
      </c>
      <c r="G1198" s="126" t="s">
        <v>311</v>
      </c>
      <c r="H1198" s="126" t="s">
        <v>311</v>
      </c>
      <c r="I1198" s="117">
        <v>945.6</v>
      </c>
      <c r="J1198" s="117">
        <v>572.29999999999995</v>
      </c>
      <c r="K1198" s="117">
        <v>513.5</v>
      </c>
      <c r="L1198" s="128">
        <v>21</v>
      </c>
      <c r="M1198" s="126" t="s">
        <v>271</v>
      </c>
      <c r="N1198" s="126" t="s">
        <v>272</v>
      </c>
      <c r="O1198" s="126" t="s">
        <v>274</v>
      </c>
      <c r="P1198" s="117">
        <v>3549600</v>
      </c>
      <c r="Q1198" s="117">
        <v>0</v>
      </c>
      <c r="R1198" s="117">
        <v>0</v>
      </c>
      <c r="S1198" s="117">
        <f>P1198-Q1198-R1198</f>
        <v>3549600</v>
      </c>
      <c r="T1198" s="118">
        <f t="shared" si="173"/>
        <v>3753.8071065989848</v>
      </c>
      <c r="U1198" s="118">
        <f>Y1198</f>
        <v>3843.4568527918782</v>
      </c>
      <c r="V1198" s="183">
        <f t="shared" si="168"/>
        <v>89.649746192893417</v>
      </c>
      <c r="W1198" s="183"/>
      <c r="X1198" s="183"/>
      <c r="Y1198" s="64">
        <f t="shared" si="169"/>
        <v>3843.4568527918782</v>
      </c>
      <c r="AA1198" s="64">
        <f t="shared" si="170"/>
        <v>696</v>
      </c>
      <c r="AH1198" s="64" t="e">
        <f t="shared" si="171"/>
        <v>#N/A</v>
      </c>
      <c r="AS1198" s="64" t="e">
        <f t="shared" si="172"/>
        <v>#N/A</v>
      </c>
      <c r="DT1198" s="119"/>
      <c r="DU1198" s="119"/>
      <c r="DV1198" s="119"/>
      <c r="EJ1198" s="120"/>
      <c r="ES1198" s="121"/>
      <c r="FV1198" s="122"/>
      <c r="GL1198" s="123"/>
    </row>
    <row r="1199" spans="1:194" s="20" customFormat="1" ht="36" customHeight="1" x14ac:dyDescent="0.9">
      <c r="A1199" s="64">
        <v>1</v>
      </c>
      <c r="B1199" s="92">
        <f>SUBTOTAL(103,$A$942:A1199)</f>
        <v>206</v>
      </c>
      <c r="C1199" s="116" t="s">
        <v>199</v>
      </c>
      <c r="D1199" s="126" t="s">
        <v>322</v>
      </c>
      <c r="E1199" s="126"/>
      <c r="F1199" s="147" t="s">
        <v>326</v>
      </c>
      <c r="G1199" s="126" t="s">
        <v>320</v>
      </c>
      <c r="H1199" s="126" t="s">
        <v>312</v>
      </c>
      <c r="I1199" s="117">
        <v>533.70000000000005</v>
      </c>
      <c r="J1199" s="117">
        <v>488.8</v>
      </c>
      <c r="K1199" s="117">
        <v>488.8</v>
      </c>
      <c r="L1199" s="128">
        <v>30</v>
      </c>
      <c r="M1199" s="126" t="s">
        <v>271</v>
      </c>
      <c r="N1199" s="126" t="s">
        <v>272</v>
      </c>
      <c r="O1199" s="126" t="s">
        <v>274</v>
      </c>
      <c r="P1199" s="117">
        <v>1391408.2</v>
      </c>
      <c r="Q1199" s="117">
        <v>0</v>
      </c>
      <c r="R1199" s="117">
        <v>0</v>
      </c>
      <c r="S1199" s="117">
        <f>P1199-Q1199-R1199</f>
        <v>1391408.2</v>
      </c>
      <c r="T1199" s="118">
        <f t="shared" si="173"/>
        <v>2607.0979951283489</v>
      </c>
      <c r="U1199" s="118">
        <f>AG1199</f>
        <v>5763.1223404255315</v>
      </c>
      <c r="V1199" s="183">
        <f t="shared" si="168"/>
        <v>3156.0243452971827</v>
      </c>
      <c r="W1199" s="183"/>
      <c r="X1199" s="183"/>
      <c r="Y1199" s="64" t="e">
        <f t="shared" si="169"/>
        <v>#N/A</v>
      </c>
      <c r="AA1199" s="64" t="e">
        <f t="shared" si="170"/>
        <v>#N/A</v>
      </c>
      <c r="AG1199" s="64">
        <f>AH1199*6191.24/J1199</f>
        <v>5763.1223404255315</v>
      </c>
      <c r="AH1199" s="64">
        <f t="shared" si="171"/>
        <v>455</v>
      </c>
      <c r="AS1199" s="64" t="e">
        <f t="shared" si="172"/>
        <v>#N/A</v>
      </c>
      <c r="DT1199" s="119"/>
      <c r="DU1199" s="119"/>
      <c r="DV1199" s="119"/>
      <c r="EJ1199" s="120"/>
      <c r="ES1199" s="121"/>
      <c r="FV1199" s="122"/>
      <c r="GL1199" s="123"/>
    </row>
    <row r="1200" spans="1:194" s="20" customFormat="1" ht="36" customHeight="1" x14ac:dyDescent="0.9">
      <c r="A1200" s="64">
        <v>1</v>
      </c>
      <c r="B1200" s="92">
        <f>SUBTOTAL(103,$A$942:A1200)</f>
        <v>207</v>
      </c>
      <c r="C1200" s="116" t="s">
        <v>200</v>
      </c>
      <c r="D1200" s="126" t="s">
        <v>323</v>
      </c>
      <c r="E1200" s="126"/>
      <c r="F1200" s="147" t="s">
        <v>326</v>
      </c>
      <c r="G1200" s="126" t="s">
        <v>320</v>
      </c>
      <c r="H1200" s="126" t="s">
        <v>312</v>
      </c>
      <c r="I1200" s="117">
        <v>530.29999999999995</v>
      </c>
      <c r="J1200" s="117">
        <v>489.3</v>
      </c>
      <c r="K1200" s="117">
        <v>489.3</v>
      </c>
      <c r="L1200" s="128">
        <v>26</v>
      </c>
      <c r="M1200" s="126" t="s">
        <v>271</v>
      </c>
      <c r="N1200" s="126" t="s">
        <v>272</v>
      </c>
      <c r="O1200" s="126" t="s">
        <v>274</v>
      </c>
      <c r="P1200" s="117">
        <v>1391408.2</v>
      </c>
      <c r="Q1200" s="117">
        <v>0</v>
      </c>
      <c r="R1200" s="117">
        <v>0</v>
      </c>
      <c r="S1200" s="117">
        <f>P1200-Q1200-R1200</f>
        <v>1391408.2</v>
      </c>
      <c r="T1200" s="118">
        <f t="shared" si="173"/>
        <v>2623.8133132189328</v>
      </c>
      <c r="U1200" s="118">
        <f>AG1200</f>
        <v>5757.2331902718161</v>
      </c>
      <c r="V1200" s="183">
        <f t="shared" si="168"/>
        <v>3133.4198770528833</v>
      </c>
      <c r="W1200" s="183"/>
      <c r="X1200" s="183"/>
      <c r="Y1200" s="64" t="e">
        <f t="shared" si="169"/>
        <v>#N/A</v>
      </c>
      <c r="AA1200" s="64" t="e">
        <f t="shared" si="170"/>
        <v>#N/A</v>
      </c>
      <c r="AG1200" s="64">
        <f>AH1200*6191.24/J1200</f>
        <v>5757.2331902718161</v>
      </c>
      <c r="AH1200" s="64">
        <f t="shared" si="171"/>
        <v>455</v>
      </c>
      <c r="AS1200" s="64" t="e">
        <f t="shared" si="172"/>
        <v>#N/A</v>
      </c>
      <c r="DT1200" s="119"/>
      <c r="DU1200" s="119"/>
      <c r="DV1200" s="119"/>
      <c r="EJ1200" s="120"/>
      <c r="ES1200" s="121"/>
      <c r="FV1200" s="122"/>
      <c r="GL1200" s="123"/>
    </row>
    <row r="1201" spans="1:194" s="64" customFormat="1" ht="36" customHeight="1" x14ac:dyDescent="0.9">
      <c r="B1201" s="91" t="s">
        <v>884</v>
      </c>
      <c r="C1201" s="91"/>
      <c r="D1201" s="126" t="s">
        <v>916</v>
      </c>
      <c r="E1201" s="126" t="s">
        <v>916</v>
      </c>
      <c r="F1201" s="126" t="s">
        <v>916</v>
      </c>
      <c r="G1201" s="126" t="s">
        <v>916</v>
      </c>
      <c r="H1201" s="126" t="s">
        <v>916</v>
      </c>
      <c r="I1201" s="117">
        <f>I1202</f>
        <v>814.6</v>
      </c>
      <c r="J1201" s="117">
        <f>J1202</f>
        <v>814.6</v>
      </c>
      <c r="K1201" s="117">
        <f>K1202</f>
        <v>336.9</v>
      </c>
      <c r="L1201" s="127">
        <f>L1202</f>
        <v>26</v>
      </c>
      <c r="M1201" s="126" t="s">
        <v>916</v>
      </c>
      <c r="N1201" s="126" t="s">
        <v>916</v>
      </c>
      <c r="O1201" s="124" t="s">
        <v>916</v>
      </c>
      <c r="P1201" s="118">
        <v>4686244.08</v>
      </c>
      <c r="Q1201" s="118">
        <f>Q1202</f>
        <v>0</v>
      </c>
      <c r="R1201" s="118">
        <f>R1202</f>
        <v>0</v>
      </c>
      <c r="S1201" s="118">
        <f>S1202</f>
        <v>4686244.08</v>
      </c>
      <c r="T1201" s="118">
        <f t="shared" si="173"/>
        <v>5752.8162042720351</v>
      </c>
      <c r="U1201" s="118">
        <f>T1201</f>
        <v>5752.8162042720351</v>
      </c>
      <c r="V1201" s="183">
        <f t="shared" si="168"/>
        <v>0</v>
      </c>
      <c r="W1201" s="183"/>
      <c r="X1201" s="183"/>
      <c r="Y1201" s="64" t="e">
        <f t="shared" si="169"/>
        <v>#N/A</v>
      </c>
      <c r="AA1201" s="64" t="e">
        <f t="shared" si="170"/>
        <v>#N/A</v>
      </c>
      <c r="AH1201" s="64" t="e">
        <f t="shared" si="171"/>
        <v>#N/A</v>
      </c>
      <c r="AS1201" s="64" t="e">
        <f t="shared" si="172"/>
        <v>#N/A</v>
      </c>
    </row>
    <row r="1202" spans="1:194" s="20" customFormat="1" ht="36" customHeight="1" x14ac:dyDescent="0.9">
      <c r="A1202" s="64">
        <v>1</v>
      </c>
      <c r="B1202" s="92">
        <f>SUBTOTAL(103,$A$942:A1202)</f>
        <v>208</v>
      </c>
      <c r="C1202" s="116" t="s">
        <v>1400</v>
      </c>
      <c r="D1202" s="126">
        <v>1950</v>
      </c>
      <c r="E1202" s="126"/>
      <c r="F1202" s="147" t="s">
        <v>273</v>
      </c>
      <c r="G1202" s="126">
        <v>2</v>
      </c>
      <c r="H1202" s="126">
        <v>2</v>
      </c>
      <c r="I1202" s="117">
        <v>814.6</v>
      </c>
      <c r="J1202" s="117">
        <v>814.6</v>
      </c>
      <c r="K1202" s="117">
        <v>336.9</v>
      </c>
      <c r="L1202" s="128">
        <v>26</v>
      </c>
      <c r="M1202" s="126" t="s">
        <v>271</v>
      </c>
      <c r="N1202" s="126" t="s">
        <v>275</v>
      </c>
      <c r="O1202" s="126" t="s">
        <v>1329</v>
      </c>
      <c r="P1202" s="117">
        <v>4686244.08</v>
      </c>
      <c r="Q1202" s="117">
        <v>0</v>
      </c>
      <c r="R1202" s="117">
        <v>0</v>
      </c>
      <c r="S1202" s="117">
        <f>P1202-Q1202-R1202</f>
        <v>4686244.08</v>
      </c>
      <c r="T1202" s="118">
        <f t="shared" si="173"/>
        <v>5752.8162042720351</v>
      </c>
      <c r="U1202" s="118">
        <f>T1202</f>
        <v>5752.8162042720351</v>
      </c>
      <c r="V1202" s="183">
        <f t="shared" si="168"/>
        <v>0</v>
      </c>
      <c r="W1202" s="183"/>
      <c r="X1202" s="183"/>
      <c r="Y1202" s="64">
        <f t="shared" si="169"/>
        <v>4615.3891480481216</v>
      </c>
      <c r="AA1202" s="64">
        <f t="shared" si="170"/>
        <v>720</v>
      </c>
      <c r="AH1202" s="64" t="e">
        <f t="shared" si="171"/>
        <v>#N/A</v>
      </c>
      <c r="AS1202" s="64" t="e">
        <f t="shared" si="172"/>
        <v>#N/A</v>
      </c>
      <c r="DT1202" s="119"/>
      <c r="DU1202" s="119"/>
      <c r="DV1202" s="119"/>
      <c r="EJ1202" s="120"/>
      <c r="ES1202" s="121"/>
      <c r="FV1202" s="122"/>
      <c r="GL1202" s="123"/>
    </row>
    <row r="1203" spans="1:194" s="64" customFormat="1" ht="36" customHeight="1" x14ac:dyDescent="0.9">
      <c r="B1203" s="91" t="s">
        <v>886</v>
      </c>
      <c r="C1203" s="91"/>
      <c r="D1203" s="126" t="s">
        <v>916</v>
      </c>
      <c r="E1203" s="126" t="s">
        <v>916</v>
      </c>
      <c r="F1203" s="126" t="s">
        <v>916</v>
      </c>
      <c r="G1203" s="126" t="s">
        <v>916</v>
      </c>
      <c r="H1203" s="126" t="s">
        <v>916</v>
      </c>
      <c r="I1203" s="117">
        <f>I1204</f>
        <v>350.9</v>
      </c>
      <c r="J1203" s="117">
        <f>J1204</f>
        <v>311.89999999999998</v>
      </c>
      <c r="K1203" s="117">
        <f>K1204</f>
        <v>311.89999999999998</v>
      </c>
      <c r="L1203" s="127">
        <f>L1204</f>
        <v>18</v>
      </c>
      <c r="M1203" s="126" t="s">
        <v>916</v>
      </c>
      <c r="N1203" s="126" t="s">
        <v>916</v>
      </c>
      <c r="O1203" s="124" t="s">
        <v>916</v>
      </c>
      <c r="P1203" s="118">
        <v>3600600</v>
      </c>
      <c r="Q1203" s="118">
        <f>Q1204</f>
        <v>0</v>
      </c>
      <c r="R1203" s="118">
        <f>R1204</f>
        <v>0</v>
      </c>
      <c r="S1203" s="118">
        <f>S1204</f>
        <v>3600600</v>
      </c>
      <c r="T1203" s="118">
        <f t="shared" si="173"/>
        <v>10261.043032202908</v>
      </c>
      <c r="U1203" s="118">
        <f>U1204</f>
        <v>11841.304839581195</v>
      </c>
      <c r="V1203" s="183">
        <f t="shared" si="168"/>
        <v>1580.2618073782869</v>
      </c>
      <c r="W1203" s="183"/>
      <c r="X1203" s="183"/>
      <c r="Y1203" s="64" t="e">
        <f t="shared" si="169"/>
        <v>#N/A</v>
      </c>
      <c r="AA1203" s="64" t="e">
        <f t="shared" si="170"/>
        <v>#N/A</v>
      </c>
      <c r="AH1203" s="64" t="e">
        <f t="shared" si="171"/>
        <v>#N/A</v>
      </c>
      <c r="AS1203" s="64" t="e">
        <f t="shared" si="172"/>
        <v>#N/A</v>
      </c>
    </row>
    <row r="1204" spans="1:194" s="20" customFormat="1" ht="36" customHeight="1" x14ac:dyDescent="0.9">
      <c r="A1204" s="64">
        <v>1</v>
      </c>
      <c r="B1204" s="92">
        <f>SUBTOTAL(103,$A$942:A1204)</f>
        <v>209</v>
      </c>
      <c r="C1204" s="116" t="s">
        <v>819</v>
      </c>
      <c r="D1204" s="126" t="s">
        <v>323</v>
      </c>
      <c r="E1204" s="126"/>
      <c r="F1204" s="147" t="s">
        <v>273</v>
      </c>
      <c r="G1204" s="126" t="s">
        <v>311</v>
      </c>
      <c r="H1204" s="126" t="s">
        <v>312</v>
      </c>
      <c r="I1204" s="117">
        <v>350.9</v>
      </c>
      <c r="J1204" s="117">
        <v>311.89999999999998</v>
      </c>
      <c r="K1204" s="117">
        <v>311.89999999999998</v>
      </c>
      <c r="L1204" s="128">
        <v>18</v>
      </c>
      <c r="M1204" s="126" t="s">
        <v>271</v>
      </c>
      <c r="N1204" s="126" t="s">
        <v>272</v>
      </c>
      <c r="O1204" s="126" t="s">
        <v>274</v>
      </c>
      <c r="P1204" s="117">
        <v>3600600</v>
      </c>
      <c r="Q1204" s="117">
        <v>0</v>
      </c>
      <c r="R1204" s="117">
        <v>0</v>
      </c>
      <c r="S1204" s="117">
        <f>P1204-Q1204-R1204</f>
        <v>3600600</v>
      </c>
      <c r="T1204" s="118">
        <f t="shared" si="173"/>
        <v>10261.043032202908</v>
      </c>
      <c r="U1204" s="118">
        <f>Y1204+AG1204</f>
        <v>11841.304839581195</v>
      </c>
      <c r="V1204" s="183">
        <f t="shared" si="168"/>
        <v>1580.2618073782869</v>
      </c>
      <c r="W1204" s="183"/>
      <c r="X1204" s="183"/>
      <c r="Y1204" s="64">
        <f t="shared" si="169"/>
        <v>5223.2881162724425</v>
      </c>
      <c r="AA1204" s="64">
        <f t="shared" si="170"/>
        <v>351</v>
      </c>
      <c r="AG1204" s="64">
        <f>AH1204*6191.24/J1204</f>
        <v>6618.0167233087523</v>
      </c>
      <c r="AH1204" s="64">
        <f t="shared" si="171"/>
        <v>333.4</v>
      </c>
      <c r="AS1204" s="64" t="e">
        <f t="shared" si="172"/>
        <v>#N/A</v>
      </c>
      <c r="DT1204" s="119"/>
      <c r="DU1204" s="119"/>
      <c r="DV1204" s="119"/>
      <c r="EJ1204" s="120"/>
      <c r="ES1204" s="121"/>
      <c r="FV1204" s="122"/>
      <c r="GL1204" s="123"/>
    </row>
    <row r="1205" spans="1:194" s="64" customFormat="1" ht="36" customHeight="1" x14ac:dyDescent="0.9">
      <c r="B1205" s="91" t="s">
        <v>905</v>
      </c>
      <c r="C1205" s="91"/>
      <c r="D1205" s="126" t="s">
        <v>916</v>
      </c>
      <c r="E1205" s="126" t="s">
        <v>916</v>
      </c>
      <c r="F1205" s="126" t="s">
        <v>916</v>
      </c>
      <c r="G1205" s="126" t="s">
        <v>916</v>
      </c>
      <c r="H1205" s="126" t="s">
        <v>916</v>
      </c>
      <c r="I1205" s="117">
        <f>I1206</f>
        <v>626</v>
      </c>
      <c r="J1205" s="117">
        <f>J1206</f>
        <v>423.7</v>
      </c>
      <c r="K1205" s="117">
        <f>K1206</f>
        <v>423.7</v>
      </c>
      <c r="L1205" s="127">
        <f>L1206</f>
        <v>23</v>
      </c>
      <c r="M1205" s="126" t="s">
        <v>916</v>
      </c>
      <c r="N1205" s="126" t="s">
        <v>916</v>
      </c>
      <c r="O1205" s="124" t="s">
        <v>916</v>
      </c>
      <c r="P1205" s="118">
        <v>2233993.96</v>
      </c>
      <c r="Q1205" s="118">
        <f>Q1206</f>
        <v>0</v>
      </c>
      <c r="R1205" s="118">
        <f>R1206</f>
        <v>0</v>
      </c>
      <c r="S1205" s="118">
        <f>S1206</f>
        <v>2233993.96</v>
      </c>
      <c r="T1205" s="118">
        <f t="shared" si="173"/>
        <v>3568.6804472843451</v>
      </c>
      <c r="U1205" s="118">
        <f>T1205</f>
        <v>3568.6804472843451</v>
      </c>
      <c r="V1205" s="183">
        <f t="shared" si="168"/>
        <v>0</v>
      </c>
      <c r="W1205" s="183"/>
      <c r="X1205" s="183"/>
      <c r="Y1205" s="64" t="e">
        <f t="shared" si="169"/>
        <v>#N/A</v>
      </c>
      <c r="AA1205" s="64" t="e">
        <f t="shared" si="170"/>
        <v>#N/A</v>
      </c>
      <c r="AH1205" s="64" t="e">
        <f t="shared" si="171"/>
        <v>#N/A</v>
      </c>
      <c r="AS1205" s="64" t="e">
        <f t="shared" si="172"/>
        <v>#N/A</v>
      </c>
    </row>
    <row r="1206" spans="1:194" s="20" customFormat="1" ht="36" customHeight="1" x14ac:dyDescent="0.9">
      <c r="A1206" s="64">
        <v>1</v>
      </c>
      <c r="B1206" s="92">
        <f>SUBTOTAL(103,$A$942:A1206)</f>
        <v>210</v>
      </c>
      <c r="C1206" s="116" t="s">
        <v>201</v>
      </c>
      <c r="D1206" s="126" t="s">
        <v>324</v>
      </c>
      <c r="E1206" s="126"/>
      <c r="F1206" s="147" t="s">
        <v>273</v>
      </c>
      <c r="G1206" s="126" t="s">
        <v>320</v>
      </c>
      <c r="H1206" s="126" t="s">
        <v>311</v>
      </c>
      <c r="I1206" s="117">
        <v>626</v>
      </c>
      <c r="J1206" s="117">
        <v>423.7</v>
      </c>
      <c r="K1206" s="117">
        <v>423.7</v>
      </c>
      <c r="L1206" s="128">
        <v>23</v>
      </c>
      <c r="M1206" s="126" t="s">
        <v>271</v>
      </c>
      <c r="N1206" s="126" t="s">
        <v>275</v>
      </c>
      <c r="O1206" s="126" t="s">
        <v>1016</v>
      </c>
      <c r="P1206" s="117">
        <v>2233993.96</v>
      </c>
      <c r="Q1206" s="117">
        <v>0</v>
      </c>
      <c r="R1206" s="117">
        <v>0</v>
      </c>
      <c r="S1206" s="117">
        <f>P1206-Q1206-R1206</f>
        <v>2233993.96</v>
      </c>
      <c r="T1206" s="118">
        <f t="shared" si="173"/>
        <v>3568.6804472843451</v>
      </c>
      <c r="U1206" s="118">
        <f>T1206</f>
        <v>3568.6804472843451</v>
      </c>
      <c r="V1206" s="183">
        <f t="shared" si="168"/>
        <v>0</v>
      </c>
      <c r="W1206" s="183"/>
      <c r="X1206" s="183"/>
      <c r="Y1206" s="64">
        <f t="shared" si="169"/>
        <v>3136.4166134185302</v>
      </c>
      <c r="AA1206" s="64">
        <f t="shared" si="170"/>
        <v>376</v>
      </c>
      <c r="AH1206" s="64" t="e">
        <f t="shared" si="171"/>
        <v>#N/A</v>
      </c>
      <c r="AS1206" s="64" t="e">
        <f t="shared" si="172"/>
        <v>#N/A</v>
      </c>
      <c r="DT1206" s="119"/>
      <c r="DU1206" s="119"/>
      <c r="DV1206" s="119"/>
      <c r="EJ1206" s="120"/>
      <c r="ES1206" s="121"/>
      <c r="FV1206" s="122"/>
      <c r="GL1206" s="123"/>
    </row>
    <row r="1207" spans="1:194" s="64" customFormat="1" ht="36" customHeight="1" x14ac:dyDescent="0.9">
      <c r="B1207" s="91" t="s">
        <v>887</v>
      </c>
      <c r="C1207" s="172"/>
      <c r="D1207" s="126" t="s">
        <v>916</v>
      </c>
      <c r="E1207" s="126" t="s">
        <v>916</v>
      </c>
      <c r="F1207" s="126" t="s">
        <v>916</v>
      </c>
      <c r="G1207" s="126" t="s">
        <v>916</v>
      </c>
      <c r="H1207" s="126" t="s">
        <v>916</v>
      </c>
      <c r="I1207" s="117">
        <f>SUM(I1208:I1210)</f>
        <v>4977.8</v>
      </c>
      <c r="J1207" s="117">
        <f>SUM(J1208:J1210)</f>
        <v>4611.5</v>
      </c>
      <c r="K1207" s="117">
        <f>SUM(K1208:K1210)</f>
        <v>4611.5</v>
      </c>
      <c r="L1207" s="127">
        <f>SUM(L1208:L1210)</f>
        <v>158</v>
      </c>
      <c r="M1207" s="126" t="s">
        <v>916</v>
      </c>
      <c r="N1207" s="126" t="s">
        <v>916</v>
      </c>
      <c r="O1207" s="124" t="s">
        <v>916</v>
      </c>
      <c r="P1207" s="118">
        <v>14392200</v>
      </c>
      <c r="Q1207" s="118">
        <f>Q1208+Q1209+Q1210</f>
        <v>0</v>
      </c>
      <c r="R1207" s="118">
        <f>R1208+R1209+R1210</f>
        <v>0</v>
      </c>
      <c r="S1207" s="118">
        <f>S1208+S1209+S1210</f>
        <v>14392200</v>
      </c>
      <c r="T1207" s="118">
        <f t="shared" si="173"/>
        <v>2891.2772710836111</v>
      </c>
      <c r="U1207" s="118">
        <f>MAX(U1208:U1210)</f>
        <v>3123.9496797804209</v>
      </c>
      <c r="V1207" s="183">
        <f t="shared" si="168"/>
        <v>232.67240869680973</v>
      </c>
      <c r="W1207" s="183"/>
      <c r="X1207" s="183"/>
      <c r="Y1207" s="64" t="e">
        <f t="shared" si="169"/>
        <v>#N/A</v>
      </c>
      <c r="AA1207" s="64" t="e">
        <f t="shared" si="170"/>
        <v>#N/A</v>
      </c>
      <c r="AH1207" s="64" t="e">
        <f t="shared" si="171"/>
        <v>#N/A</v>
      </c>
      <c r="AS1207" s="64" t="e">
        <f t="shared" si="172"/>
        <v>#N/A</v>
      </c>
    </row>
    <row r="1208" spans="1:194" s="20" customFormat="1" ht="36" customHeight="1" x14ac:dyDescent="0.9">
      <c r="A1208" s="64">
        <v>1</v>
      </c>
      <c r="B1208" s="92">
        <f>SUBTOTAL(103,$A$942:A1208)</f>
        <v>211</v>
      </c>
      <c r="C1208" s="116" t="s">
        <v>218</v>
      </c>
      <c r="D1208" s="126">
        <v>1977</v>
      </c>
      <c r="E1208" s="126"/>
      <c r="F1208" s="147" t="s">
        <v>273</v>
      </c>
      <c r="G1208" s="126">
        <v>3</v>
      </c>
      <c r="H1208" s="126">
        <v>3</v>
      </c>
      <c r="I1208" s="117">
        <v>1967.4</v>
      </c>
      <c r="J1208" s="117">
        <v>1816.8</v>
      </c>
      <c r="K1208" s="117">
        <v>1816.8</v>
      </c>
      <c r="L1208" s="128">
        <v>56</v>
      </c>
      <c r="M1208" s="126" t="s">
        <v>271</v>
      </c>
      <c r="N1208" s="126" t="s">
        <v>275</v>
      </c>
      <c r="O1208" s="126" t="s">
        <v>340</v>
      </c>
      <c r="P1208" s="117">
        <v>6002700</v>
      </c>
      <c r="Q1208" s="117">
        <v>0</v>
      </c>
      <c r="R1208" s="117">
        <v>0</v>
      </c>
      <c r="S1208" s="117">
        <f>P1208-Q1208-R1208</f>
        <v>6002700</v>
      </c>
      <c r="T1208" s="118">
        <f t="shared" si="173"/>
        <v>3051.0826471485207</v>
      </c>
      <c r="U1208" s="118">
        <f>Y1208</f>
        <v>3123.9496797804209</v>
      </c>
      <c r="V1208" s="183">
        <f t="shared" si="168"/>
        <v>72.867032631900202</v>
      </c>
      <c r="W1208" s="183"/>
      <c r="X1208" s="183"/>
      <c r="Y1208" s="64">
        <f t="shared" si="169"/>
        <v>3123.9496797804209</v>
      </c>
      <c r="AA1208" s="64">
        <f t="shared" si="170"/>
        <v>1177</v>
      </c>
      <c r="AH1208" s="64" t="e">
        <f t="shared" si="171"/>
        <v>#N/A</v>
      </c>
      <c r="AS1208" s="64" t="e">
        <f t="shared" si="172"/>
        <v>#N/A</v>
      </c>
      <c r="DT1208" s="119"/>
      <c r="DU1208" s="119"/>
      <c r="DV1208" s="119"/>
      <c r="EJ1208" s="120"/>
      <c r="ES1208" s="121"/>
      <c r="FV1208" s="122"/>
      <c r="GL1208" s="123"/>
    </row>
    <row r="1209" spans="1:194" s="20" customFormat="1" ht="36" customHeight="1" x14ac:dyDescent="0.9">
      <c r="A1209" s="64">
        <v>1</v>
      </c>
      <c r="B1209" s="92">
        <f>SUBTOTAL(103,$A$942:A1209)</f>
        <v>212</v>
      </c>
      <c r="C1209" s="116" t="s">
        <v>219</v>
      </c>
      <c r="D1209" s="126">
        <v>1989</v>
      </c>
      <c r="E1209" s="126"/>
      <c r="F1209" s="147" t="s">
        <v>273</v>
      </c>
      <c r="G1209" s="126">
        <v>3</v>
      </c>
      <c r="H1209" s="126">
        <v>2</v>
      </c>
      <c r="I1209" s="117">
        <v>1426.9</v>
      </c>
      <c r="J1209" s="117">
        <v>1318.5</v>
      </c>
      <c r="K1209" s="117">
        <v>1318.5</v>
      </c>
      <c r="L1209" s="128">
        <v>54</v>
      </c>
      <c r="M1209" s="126" t="s">
        <v>271</v>
      </c>
      <c r="N1209" s="126" t="s">
        <v>275</v>
      </c>
      <c r="O1209" s="126" t="s">
        <v>340</v>
      </c>
      <c r="P1209" s="117">
        <v>4059600</v>
      </c>
      <c r="Q1209" s="117">
        <v>0</v>
      </c>
      <c r="R1209" s="117">
        <v>0</v>
      </c>
      <c r="S1209" s="117">
        <f>P1209-Q1209-R1209</f>
        <v>4059600</v>
      </c>
      <c r="T1209" s="118">
        <f t="shared" si="173"/>
        <v>2845.0487069871747</v>
      </c>
      <c r="U1209" s="118">
        <f>Y1209</f>
        <v>2912.9951643422805</v>
      </c>
      <c r="V1209" s="183">
        <f t="shared" si="168"/>
        <v>67.946457355105849</v>
      </c>
      <c r="W1209" s="183"/>
      <c r="X1209" s="183"/>
      <c r="Y1209" s="64">
        <f t="shared" si="169"/>
        <v>2912.9951643422805</v>
      </c>
      <c r="AA1209" s="64">
        <f t="shared" si="170"/>
        <v>796</v>
      </c>
      <c r="AH1209" s="64" t="e">
        <f t="shared" si="171"/>
        <v>#N/A</v>
      </c>
      <c r="AS1209" s="64" t="e">
        <f t="shared" si="172"/>
        <v>#N/A</v>
      </c>
      <c r="DT1209" s="119"/>
      <c r="DU1209" s="119"/>
      <c r="DV1209" s="119"/>
      <c r="EJ1209" s="120"/>
      <c r="ES1209" s="121"/>
      <c r="FV1209" s="122"/>
      <c r="GL1209" s="123"/>
    </row>
    <row r="1210" spans="1:194" s="20" customFormat="1" ht="36" customHeight="1" x14ac:dyDescent="0.9">
      <c r="A1210" s="64">
        <v>1</v>
      </c>
      <c r="B1210" s="92">
        <f>SUBTOTAL(103,$A$942:A1210)</f>
        <v>213</v>
      </c>
      <c r="C1210" s="116" t="s">
        <v>220</v>
      </c>
      <c r="D1210" s="126">
        <v>1972</v>
      </c>
      <c r="E1210" s="126"/>
      <c r="F1210" s="147" t="s">
        <v>273</v>
      </c>
      <c r="G1210" s="126">
        <v>3</v>
      </c>
      <c r="H1210" s="126">
        <v>3</v>
      </c>
      <c r="I1210" s="117">
        <v>1583.5</v>
      </c>
      <c r="J1210" s="117">
        <v>1476.2</v>
      </c>
      <c r="K1210" s="117">
        <v>1476.2</v>
      </c>
      <c r="L1210" s="128">
        <v>48</v>
      </c>
      <c r="M1210" s="126" t="s">
        <v>271</v>
      </c>
      <c r="N1210" s="126" t="s">
        <v>275</v>
      </c>
      <c r="O1210" s="126" t="s">
        <v>340</v>
      </c>
      <c r="P1210" s="117">
        <v>4329900</v>
      </c>
      <c r="Q1210" s="117">
        <v>0</v>
      </c>
      <c r="R1210" s="117">
        <v>0</v>
      </c>
      <c r="S1210" s="117">
        <f>P1210-Q1210-R1210</f>
        <v>4329900</v>
      </c>
      <c r="T1210" s="118">
        <f t="shared" si="173"/>
        <v>2734.3858541206187</v>
      </c>
      <c r="U1210" s="118">
        <f>Y1210</f>
        <v>2799.6894221660878</v>
      </c>
      <c r="V1210" s="183">
        <f t="shared" si="168"/>
        <v>65.303568045469092</v>
      </c>
      <c r="W1210" s="183"/>
      <c r="X1210" s="183"/>
      <c r="Y1210" s="64">
        <f t="shared" si="169"/>
        <v>2799.6894221660878</v>
      </c>
      <c r="AA1210" s="64">
        <f t="shared" si="170"/>
        <v>849</v>
      </c>
      <c r="AH1210" s="64" t="e">
        <f t="shared" si="171"/>
        <v>#N/A</v>
      </c>
      <c r="AS1210" s="64" t="e">
        <f t="shared" si="172"/>
        <v>#N/A</v>
      </c>
      <c r="DT1210" s="119"/>
      <c r="DU1210" s="119"/>
      <c r="DV1210" s="119"/>
      <c r="EJ1210" s="120"/>
      <c r="ES1210" s="121"/>
      <c r="FV1210" s="122"/>
      <c r="GL1210" s="123"/>
    </row>
    <row r="1211" spans="1:194" s="64" customFormat="1" ht="36" customHeight="1" x14ac:dyDescent="0.9">
      <c r="B1211" s="91" t="s">
        <v>888</v>
      </c>
      <c r="C1211" s="91"/>
      <c r="D1211" s="126" t="s">
        <v>916</v>
      </c>
      <c r="E1211" s="126" t="s">
        <v>916</v>
      </c>
      <c r="F1211" s="126" t="s">
        <v>916</v>
      </c>
      <c r="G1211" s="126" t="s">
        <v>916</v>
      </c>
      <c r="H1211" s="126" t="s">
        <v>916</v>
      </c>
      <c r="I1211" s="117">
        <f>I1212</f>
        <v>775.2</v>
      </c>
      <c r="J1211" s="117">
        <f>J1212</f>
        <v>715.9</v>
      </c>
      <c r="K1211" s="117">
        <f>K1212</f>
        <v>715.9</v>
      </c>
      <c r="L1211" s="127">
        <f>L1212</f>
        <v>16</v>
      </c>
      <c r="M1211" s="126" t="s">
        <v>916</v>
      </c>
      <c r="N1211" s="126" t="s">
        <v>916</v>
      </c>
      <c r="O1211" s="124" t="s">
        <v>916</v>
      </c>
      <c r="P1211" s="118">
        <v>3396600</v>
      </c>
      <c r="Q1211" s="118">
        <f>Q1212</f>
        <v>0</v>
      </c>
      <c r="R1211" s="118">
        <f>R1212</f>
        <v>0</v>
      </c>
      <c r="S1211" s="118">
        <f>S1212</f>
        <v>3396600</v>
      </c>
      <c r="T1211" s="118">
        <f t="shared" si="173"/>
        <v>4381.5789473684208</v>
      </c>
      <c r="U1211" s="118">
        <f>U1212</f>
        <v>4486.2213622291019</v>
      </c>
      <c r="V1211" s="183">
        <f t="shared" si="168"/>
        <v>104.64241486068113</v>
      </c>
      <c r="W1211" s="183"/>
      <c r="X1211" s="183"/>
      <c r="Y1211" s="64" t="e">
        <f t="shared" si="169"/>
        <v>#N/A</v>
      </c>
      <c r="AA1211" s="64" t="e">
        <f t="shared" si="170"/>
        <v>#N/A</v>
      </c>
      <c r="AH1211" s="64" t="e">
        <f t="shared" si="171"/>
        <v>#N/A</v>
      </c>
      <c r="AS1211" s="64" t="e">
        <f t="shared" si="172"/>
        <v>#N/A</v>
      </c>
    </row>
    <row r="1212" spans="1:194" s="20" customFormat="1" ht="36" customHeight="1" x14ac:dyDescent="0.9">
      <c r="A1212" s="64">
        <v>1</v>
      </c>
      <c r="B1212" s="92">
        <f>SUBTOTAL(103,$A$942:A1212)</f>
        <v>214</v>
      </c>
      <c r="C1212" s="116" t="s">
        <v>226</v>
      </c>
      <c r="D1212" s="126">
        <v>1974</v>
      </c>
      <c r="E1212" s="126"/>
      <c r="F1212" s="147" t="s">
        <v>273</v>
      </c>
      <c r="G1212" s="126">
        <v>2</v>
      </c>
      <c r="H1212" s="126">
        <v>2</v>
      </c>
      <c r="I1212" s="117">
        <v>775.2</v>
      </c>
      <c r="J1212" s="117">
        <v>715.9</v>
      </c>
      <c r="K1212" s="117">
        <v>715.9</v>
      </c>
      <c r="L1212" s="128">
        <v>16</v>
      </c>
      <c r="M1212" s="126" t="s">
        <v>271</v>
      </c>
      <c r="N1212" s="126" t="s">
        <v>272</v>
      </c>
      <c r="O1212" s="126" t="s">
        <v>274</v>
      </c>
      <c r="P1212" s="117">
        <v>3396600</v>
      </c>
      <c r="Q1212" s="117">
        <v>0</v>
      </c>
      <c r="R1212" s="117">
        <v>0</v>
      </c>
      <c r="S1212" s="117">
        <f>P1212-Q1212-R1212</f>
        <v>3396600</v>
      </c>
      <c r="T1212" s="118">
        <f t="shared" si="173"/>
        <v>4381.5789473684208</v>
      </c>
      <c r="U1212" s="118">
        <f>Y1212</f>
        <v>4486.2213622291019</v>
      </c>
      <c r="V1212" s="183">
        <f t="shared" si="168"/>
        <v>104.64241486068113</v>
      </c>
      <c r="W1212" s="183"/>
      <c r="X1212" s="183"/>
      <c r="Y1212" s="64">
        <f t="shared" si="169"/>
        <v>4486.2213622291019</v>
      </c>
      <c r="AA1212" s="64">
        <f t="shared" si="170"/>
        <v>666</v>
      </c>
      <c r="AG1212" s="64" t="e">
        <f>AH1212*6191.24/J1212</f>
        <v>#N/A</v>
      </c>
      <c r="AH1212" s="64" t="e">
        <f t="shared" si="171"/>
        <v>#N/A</v>
      </c>
      <c r="AS1212" s="64" t="e">
        <f t="shared" si="172"/>
        <v>#N/A</v>
      </c>
      <c r="DT1212" s="119"/>
      <c r="DU1212" s="119"/>
      <c r="DV1212" s="119"/>
      <c r="EJ1212" s="120"/>
      <c r="ES1212" s="121"/>
      <c r="FV1212" s="122"/>
      <c r="GL1212" s="123"/>
    </row>
    <row r="1213" spans="1:194" ht="61.5" x14ac:dyDescent="0.9">
      <c r="O1213" s="125"/>
      <c r="AG1213" s="64" t="e">
        <f>AH1213*6191.24/J1213</f>
        <v>#N/A</v>
      </c>
      <c r="AH1213" s="64" t="e">
        <f t="shared" si="171"/>
        <v>#N/A</v>
      </c>
      <c r="AS1213" s="64" t="e">
        <f t="shared" si="172"/>
        <v>#N/A</v>
      </c>
    </row>
    <row r="1214" spans="1:194" ht="61.5" x14ac:dyDescent="0.9">
      <c r="AH1214" s="64" t="e">
        <f t="shared" si="171"/>
        <v>#N/A</v>
      </c>
      <c r="AS1214" s="64" t="e">
        <f t="shared" si="172"/>
        <v>#N/A</v>
      </c>
    </row>
    <row r="1215" spans="1:194" ht="61.5" x14ac:dyDescent="0.9">
      <c r="AS1215" s="64" t="e">
        <f t="shared" si="172"/>
        <v>#N/A</v>
      </c>
    </row>
    <row r="1216" spans="1:194" ht="61.5" x14ac:dyDescent="0.9">
      <c r="AS1216" s="64" t="e">
        <f t="shared" si="172"/>
        <v>#N/A</v>
      </c>
    </row>
    <row r="1217" spans="45:45" ht="61.5" x14ac:dyDescent="0.9">
      <c r="AS1217" s="64" t="e">
        <f t="shared" si="172"/>
        <v>#N/A</v>
      </c>
    </row>
    <row r="1218" spans="45:45" ht="61.5" x14ac:dyDescent="0.9">
      <c r="AS1218" s="64" t="e">
        <f t="shared" si="172"/>
        <v>#N/A</v>
      </c>
    </row>
    <row r="1219" spans="45:45" ht="61.5" x14ac:dyDescent="0.9">
      <c r="AS1219" s="64" t="e">
        <f t="shared" si="172"/>
        <v>#N/A</v>
      </c>
    </row>
    <row r="1220" spans="45:45" ht="61.5" x14ac:dyDescent="0.9">
      <c r="AS1220" s="64" t="e">
        <f t="shared" si="172"/>
        <v>#N/A</v>
      </c>
    </row>
    <row r="1221" spans="45:45" ht="61.5" x14ac:dyDescent="0.9">
      <c r="AS1221" s="64" t="e">
        <f t="shared" si="172"/>
        <v>#N/A</v>
      </c>
    </row>
    <row r="1222" spans="45:45" ht="61.5" x14ac:dyDescent="0.9">
      <c r="AS1222" s="64" t="e">
        <f t="shared" si="172"/>
        <v>#N/A</v>
      </c>
    </row>
    <row r="1223" spans="45:45" ht="61.5" x14ac:dyDescent="0.9">
      <c r="AS1223" s="64" t="e">
        <f t="shared" si="172"/>
        <v>#N/A</v>
      </c>
    </row>
    <row r="1224" spans="45:45" ht="61.5" x14ac:dyDescent="0.9">
      <c r="AS1224" s="64" t="e">
        <f t="shared" si="172"/>
        <v>#N/A</v>
      </c>
    </row>
    <row r="1225" spans="45:45" ht="61.5" x14ac:dyDescent="0.9">
      <c r="AS1225" s="64" t="e">
        <f t="shared" si="172"/>
        <v>#N/A</v>
      </c>
    </row>
    <row r="1226" spans="45:45" ht="61.5" x14ac:dyDescent="0.9">
      <c r="AS1226" s="64" t="e">
        <f t="shared" si="172"/>
        <v>#N/A</v>
      </c>
    </row>
    <row r="1227" spans="45:45" ht="61.5" x14ac:dyDescent="0.9">
      <c r="AS1227" s="64" t="e">
        <f t="shared" si="172"/>
        <v>#N/A</v>
      </c>
    </row>
    <row r="1228" spans="45:45" ht="61.5" x14ac:dyDescent="0.9">
      <c r="AS1228" s="64" t="e">
        <f t="shared" si="172"/>
        <v>#N/A</v>
      </c>
    </row>
    <row r="1229" spans="45:45" ht="61.5" x14ac:dyDescent="0.9">
      <c r="AS1229" s="64" t="e">
        <f t="shared" si="172"/>
        <v>#N/A</v>
      </c>
    </row>
    <row r="1230" spans="45:45" ht="61.5" x14ac:dyDescent="0.9">
      <c r="AS1230" s="64" t="e">
        <f t="shared" si="172"/>
        <v>#N/A</v>
      </c>
    </row>
    <row r="1231" spans="45:45" ht="61.5" x14ac:dyDescent="0.9">
      <c r="AS1231" s="64" t="e">
        <f t="shared" si="172"/>
        <v>#N/A</v>
      </c>
    </row>
    <row r="1232" spans="45:45" ht="61.5" x14ac:dyDescent="0.9">
      <c r="AS1232" s="64" t="e">
        <f t="shared" si="172"/>
        <v>#N/A</v>
      </c>
    </row>
    <row r="1233" spans="45:45" ht="61.5" x14ac:dyDescent="0.9">
      <c r="AS1233" s="64" t="e">
        <f t="shared" ref="AS1233:AS1296" si="174">VLOOKUP(C1233,AU:AV,2,FALSE)</f>
        <v>#N/A</v>
      </c>
    </row>
    <row r="1234" spans="45:45" ht="61.5" x14ac:dyDescent="0.9">
      <c r="AS1234" s="64" t="e">
        <f t="shared" si="174"/>
        <v>#N/A</v>
      </c>
    </row>
    <row r="1235" spans="45:45" ht="61.5" x14ac:dyDescent="0.9">
      <c r="AS1235" s="64" t="e">
        <f t="shared" si="174"/>
        <v>#N/A</v>
      </c>
    </row>
    <row r="1236" spans="45:45" ht="61.5" x14ac:dyDescent="0.9">
      <c r="AS1236" s="64" t="e">
        <f t="shared" si="174"/>
        <v>#N/A</v>
      </c>
    </row>
    <row r="1237" spans="45:45" ht="61.5" x14ac:dyDescent="0.9">
      <c r="AS1237" s="64" t="e">
        <f t="shared" si="174"/>
        <v>#N/A</v>
      </c>
    </row>
    <row r="1238" spans="45:45" ht="61.5" x14ac:dyDescent="0.9">
      <c r="AS1238" s="64" t="e">
        <f t="shared" si="174"/>
        <v>#N/A</v>
      </c>
    </row>
    <row r="1239" spans="45:45" ht="61.5" x14ac:dyDescent="0.9">
      <c r="AS1239" s="64" t="e">
        <f t="shared" si="174"/>
        <v>#N/A</v>
      </c>
    </row>
    <row r="1240" spans="45:45" ht="61.5" x14ac:dyDescent="0.9">
      <c r="AS1240" s="64" t="e">
        <f t="shared" si="174"/>
        <v>#N/A</v>
      </c>
    </row>
    <row r="1241" spans="45:45" ht="61.5" x14ac:dyDescent="0.9">
      <c r="AS1241" s="64" t="e">
        <f t="shared" si="174"/>
        <v>#N/A</v>
      </c>
    </row>
    <row r="1242" spans="45:45" ht="61.5" x14ac:dyDescent="0.9">
      <c r="AS1242" s="64" t="e">
        <f t="shared" si="174"/>
        <v>#N/A</v>
      </c>
    </row>
    <row r="1243" spans="45:45" ht="61.5" x14ac:dyDescent="0.9">
      <c r="AS1243" s="64" t="e">
        <f t="shared" si="174"/>
        <v>#N/A</v>
      </c>
    </row>
    <row r="1244" spans="45:45" ht="61.5" x14ac:dyDescent="0.9">
      <c r="AS1244" s="64" t="e">
        <f t="shared" si="174"/>
        <v>#N/A</v>
      </c>
    </row>
    <row r="1245" spans="45:45" ht="61.5" x14ac:dyDescent="0.9">
      <c r="AS1245" s="64" t="e">
        <f t="shared" si="174"/>
        <v>#N/A</v>
      </c>
    </row>
    <row r="1246" spans="45:45" ht="61.5" x14ac:dyDescent="0.9">
      <c r="AS1246" s="64" t="e">
        <f t="shared" si="174"/>
        <v>#N/A</v>
      </c>
    </row>
    <row r="1247" spans="45:45" ht="61.5" x14ac:dyDescent="0.9">
      <c r="AS1247" s="64" t="e">
        <f t="shared" si="174"/>
        <v>#N/A</v>
      </c>
    </row>
    <row r="1248" spans="45:45" ht="61.5" x14ac:dyDescent="0.9">
      <c r="AS1248" s="64" t="e">
        <f t="shared" si="174"/>
        <v>#N/A</v>
      </c>
    </row>
    <row r="1249" spans="45:45" ht="61.5" x14ac:dyDescent="0.9">
      <c r="AS1249" s="64" t="e">
        <f t="shared" si="174"/>
        <v>#N/A</v>
      </c>
    </row>
    <row r="1250" spans="45:45" ht="61.5" x14ac:dyDescent="0.9">
      <c r="AS1250" s="64" t="e">
        <f t="shared" si="174"/>
        <v>#N/A</v>
      </c>
    </row>
    <row r="1251" spans="45:45" ht="61.5" x14ac:dyDescent="0.9">
      <c r="AS1251" s="64" t="e">
        <f t="shared" si="174"/>
        <v>#N/A</v>
      </c>
    </row>
    <row r="1252" spans="45:45" ht="61.5" x14ac:dyDescent="0.9">
      <c r="AS1252" s="64" t="e">
        <f t="shared" si="174"/>
        <v>#N/A</v>
      </c>
    </row>
    <row r="1253" spans="45:45" ht="61.5" x14ac:dyDescent="0.9">
      <c r="AS1253" s="64" t="e">
        <f t="shared" si="174"/>
        <v>#N/A</v>
      </c>
    </row>
    <row r="1254" spans="45:45" ht="61.5" x14ac:dyDescent="0.9">
      <c r="AS1254" s="64" t="e">
        <f t="shared" si="174"/>
        <v>#N/A</v>
      </c>
    </row>
    <row r="1255" spans="45:45" ht="61.5" x14ac:dyDescent="0.9">
      <c r="AS1255" s="64" t="e">
        <f t="shared" si="174"/>
        <v>#N/A</v>
      </c>
    </row>
    <row r="1256" spans="45:45" ht="61.5" x14ac:dyDescent="0.9">
      <c r="AS1256" s="64" t="e">
        <f t="shared" si="174"/>
        <v>#N/A</v>
      </c>
    </row>
    <row r="1257" spans="45:45" ht="61.5" x14ac:dyDescent="0.9">
      <c r="AS1257" s="64" t="e">
        <f t="shared" si="174"/>
        <v>#N/A</v>
      </c>
    </row>
    <row r="1258" spans="45:45" ht="61.5" x14ac:dyDescent="0.9">
      <c r="AS1258" s="64" t="e">
        <f t="shared" si="174"/>
        <v>#N/A</v>
      </c>
    </row>
    <row r="1259" spans="45:45" ht="61.5" x14ac:dyDescent="0.9">
      <c r="AS1259" s="64" t="e">
        <f t="shared" si="174"/>
        <v>#N/A</v>
      </c>
    </row>
    <row r="1260" spans="45:45" ht="61.5" x14ac:dyDescent="0.9">
      <c r="AS1260" s="64" t="e">
        <f t="shared" si="174"/>
        <v>#N/A</v>
      </c>
    </row>
    <row r="1261" spans="45:45" ht="61.5" x14ac:dyDescent="0.9">
      <c r="AS1261" s="64" t="e">
        <f t="shared" si="174"/>
        <v>#N/A</v>
      </c>
    </row>
    <row r="1262" spans="45:45" ht="61.5" x14ac:dyDescent="0.9">
      <c r="AS1262" s="64" t="e">
        <f t="shared" si="174"/>
        <v>#N/A</v>
      </c>
    </row>
    <row r="1263" spans="45:45" ht="61.5" x14ac:dyDescent="0.9">
      <c r="AS1263" s="64" t="e">
        <f t="shared" si="174"/>
        <v>#N/A</v>
      </c>
    </row>
    <row r="1264" spans="45:45" ht="61.5" x14ac:dyDescent="0.9">
      <c r="AS1264" s="64" t="e">
        <f t="shared" si="174"/>
        <v>#N/A</v>
      </c>
    </row>
    <row r="1265" spans="45:45" ht="61.5" x14ac:dyDescent="0.9">
      <c r="AS1265" s="64" t="e">
        <f t="shared" si="174"/>
        <v>#N/A</v>
      </c>
    </row>
    <row r="1266" spans="45:45" ht="61.5" x14ac:dyDescent="0.9">
      <c r="AS1266" s="64" t="e">
        <f t="shared" si="174"/>
        <v>#N/A</v>
      </c>
    </row>
    <row r="1267" spans="45:45" ht="61.5" x14ac:dyDescent="0.9">
      <c r="AS1267" s="64" t="e">
        <f t="shared" si="174"/>
        <v>#N/A</v>
      </c>
    </row>
    <row r="1268" spans="45:45" ht="61.5" x14ac:dyDescent="0.9">
      <c r="AS1268" s="64" t="e">
        <f t="shared" si="174"/>
        <v>#N/A</v>
      </c>
    </row>
    <row r="1269" spans="45:45" ht="61.5" x14ac:dyDescent="0.9">
      <c r="AS1269" s="64" t="e">
        <f t="shared" si="174"/>
        <v>#N/A</v>
      </c>
    </row>
    <row r="1270" spans="45:45" ht="61.5" x14ac:dyDescent="0.9">
      <c r="AS1270" s="64" t="e">
        <f t="shared" si="174"/>
        <v>#N/A</v>
      </c>
    </row>
    <row r="1271" spans="45:45" ht="61.5" x14ac:dyDescent="0.9">
      <c r="AS1271" s="64" t="e">
        <f t="shared" si="174"/>
        <v>#N/A</v>
      </c>
    </row>
    <row r="1272" spans="45:45" ht="61.5" x14ac:dyDescent="0.9">
      <c r="AS1272" s="64" t="e">
        <f t="shared" si="174"/>
        <v>#N/A</v>
      </c>
    </row>
    <row r="1273" spans="45:45" ht="61.5" x14ac:dyDescent="0.9">
      <c r="AS1273" s="64" t="e">
        <f t="shared" si="174"/>
        <v>#N/A</v>
      </c>
    </row>
    <row r="1274" spans="45:45" ht="61.5" x14ac:dyDescent="0.9">
      <c r="AS1274" s="64" t="e">
        <f t="shared" si="174"/>
        <v>#N/A</v>
      </c>
    </row>
    <row r="1275" spans="45:45" ht="61.5" x14ac:dyDescent="0.9">
      <c r="AS1275" s="64" t="e">
        <f t="shared" si="174"/>
        <v>#N/A</v>
      </c>
    </row>
    <row r="1276" spans="45:45" ht="61.5" x14ac:dyDescent="0.9">
      <c r="AS1276" s="64" t="e">
        <f t="shared" si="174"/>
        <v>#N/A</v>
      </c>
    </row>
    <row r="1277" spans="45:45" ht="61.5" x14ac:dyDescent="0.9">
      <c r="AS1277" s="64" t="e">
        <f t="shared" si="174"/>
        <v>#N/A</v>
      </c>
    </row>
    <row r="1278" spans="45:45" ht="61.5" x14ac:dyDescent="0.9">
      <c r="AS1278" s="64" t="e">
        <f t="shared" si="174"/>
        <v>#N/A</v>
      </c>
    </row>
    <row r="1279" spans="45:45" ht="61.5" x14ac:dyDescent="0.9">
      <c r="AS1279" s="64" t="e">
        <f t="shared" si="174"/>
        <v>#N/A</v>
      </c>
    </row>
    <row r="1280" spans="45:45" ht="61.5" x14ac:dyDescent="0.9">
      <c r="AS1280" s="64" t="e">
        <f t="shared" si="174"/>
        <v>#N/A</v>
      </c>
    </row>
    <row r="1281" spans="45:45" ht="61.5" x14ac:dyDescent="0.9">
      <c r="AS1281" s="64" t="e">
        <f t="shared" si="174"/>
        <v>#N/A</v>
      </c>
    </row>
    <row r="1282" spans="45:45" ht="61.5" x14ac:dyDescent="0.9">
      <c r="AS1282" s="64" t="e">
        <f t="shared" si="174"/>
        <v>#N/A</v>
      </c>
    </row>
    <row r="1283" spans="45:45" ht="61.5" x14ac:dyDescent="0.9">
      <c r="AS1283" s="64" t="e">
        <f t="shared" si="174"/>
        <v>#N/A</v>
      </c>
    </row>
    <row r="1284" spans="45:45" ht="61.5" x14ac:dyDescent="0.9">
      <c r="AS1284" s="64" t="e">
        <f t="shared" si="174"/>
        <v>#N/A</v>
      </c>
    </row>
    <row r="1285" spans="45:45" ht="61.5" x14ac:dyDescent="0.9">
      <c r="AS1285" s="64" t="e">
        <f t="shared" si="174"/>
        <v>#N/A</v>
      </c>
    </row>
    <row r="1286" spans="45:45" ht="61.5" x14ac:dyDescent="0.9">
      <c r="AS1286" s="64" t="e">
        <f t="shared" si="174"/>
        <v>#N/A</v>
      </c>
    </row>
    <row r="1287" spans="45:45" ht="61.5" x14ac:dyDescent="0.9">
      <c r="AS1287" s="64" t="e">
        <f t="shared" si="174"/>
        <v>#N/A</v>
      </c>
    </row>
    <row r="1288" spans="45:45" ht="61.5" x14ac:dyDescent="0.9">
      <c r="AS1288" s="64" t="e">
        <f t="shared" si="174"/>
        <v>#N/A</v>
      </c>
    </row>
    <row r="1289" spans="45:45" ht="61.5" x14ac:dyDescent="0.9">
      <c r="AS1289" s="64" t="e">
        <f t="shared" si="174"/>
        <v>#N/A</v>
      </c>
    </row>
    <row r="1290" spans="45:45" ht="61.5" x14ac:dyDescent="0.9">
      <c r="AS1290" s="64" t="e">
        <f t="shared" si="174"/>
        <v>#N/A</v>
      </c>
    </row>
    <row r="1291" spans="45:45" ht="61.5" x14ac:dyDescent="0.9">
      <c r="AS1291" s="64" t="e">
        <f t="shared" si="174"/>
        <v>#N/A</v>
      </c>
    </row>
    <row r="1292" spans="45:45" ht="61.5" x14ac:dyDescent="0.9">
      <c r="AS1292" s="64" t="e">
        <f t="shared" si="174"/>
        <v>#N/A</v>
      </c>
    </row>
    <row r="1293" spans="45:45" ht="61.5" x14ac:dyDescent="0.9">
      <c r="AS1293" s="64" t="e">
        <f t="shared" si="174"/>
        <v>#N/A</v>
      </c>
    </row>
    <row r="1294" spans="45:45" ht="61.5" x14ac:dyDescent="0.9">
      <c r="AS1294" s="64" t="e">
        <f t="shared" si="174"/>
        <v>#N/A</v>
      </c>
    </row>
    <row r="1295" spans="45:45" ht="61.5" x14ac:dyDescent="0.9">
      <c r="AS1295" s="64" t="e">
        <f t="shared" si="174"/>
        <v>#N/A</v>
      </c>
    </row>
    <row r="1296" spans="45:45" ht="61.5" x14ac:dyDescent="0.9">
      <c r="AS1296" s="64" t="e">
        <f t="shared" si="174"/>
        <v>#N/A</v>
      </c>
    </row>
    <row r="1297" spans="45:45" ht="61.5" x14ac:dyDescent="0.9">
      <c r="AS1297" s="64" t="e">
        <f t="shared" ref="AS1297:AS1360" si="175">VLOOKUP(C1297,AU:AV,2,FALSE)</f>
        <v>#N/A</v>
      </c>
    </row>
    <row r="1298" spans="45:45" ht="61.5" x14ac:dyDescent="0.9">
      <c r="AS1298" s="64" t="e">
        <f t="shared" si="175"/>
        <v>#N/A</v>
      </c>
    </row>
    <row r="1299" spans="45:45" ht="61.5" x14ac:dyDescent="0.9">
      <c r="AS1299" s="64" t="e">
        <f t="shared" si="175"/>
        <v>#N/A</v>
      </c>
    </row>
    <row r="1300" spans="45:45" ht="61.5" x14ac:dyDescent="0.9">
      <c r="AS1300" s="64" t="e">
        <f t="shared" si="175"/>
        <v>#N/A</v>
      </c>
    </row>
    <row r="1301" spans="45:45" ht="61.5" x14ac:dyDescent="0.9">
      <c r="AS1301" s="64" t="e">
        <f t="shared" si="175"/>
        <v>#N/A</v>
      </c>
    </row>
    <row r="1302" spans="45:45" ht="61.5" x14ac:dyDescent="0.9">
      <c r="AS1302" s="64" t="e">
        <f t="shared" si="175"/>
        <v>#N/A</v>
      </c>
    </row>
    <row r="1303" spans="45:45" ht="61.5" x14ac:dyDescent="0.9">
      <c r="AS1303" s="64" t="e">
        <f t="shared" si="175"/>
        <v>#N/A</v>
      </c>
    </row>
    <row r="1304" spans="45:45" ht="61.5" x14ac:dyDescent="0.9">
      <c r="AS1304" s="64" t="e">
        <f t="shared" si="175"/>
        <v>#N/A</v>
      </c>
    </row>
    <row r="1305" spans="45:45" ht="61.5" x14ac:dyDescent="0.9">
      <c r="AS1305" s="64" t="e">
        <f t="shared" si="175"/>
        <v>#N/A</v>
      </c>
    </row>
    <row r="1306" spans="45:45" ht="61.5" x14ac:dyDescent="0.9">
      <c r="AS1306" s="64" t="e">
        <f t="shared" si="175"/>
        <v>#N/A</v>
      </c>
    </row>
    <row r="1307" spans="45:45" ht="61.5" x14ac:dyDescent="0.9">
      <c r="AS1307" s="64" t="e">
        <f t="shared" si="175"/>
        <v>#N/A</v>
      </c>
    </row>
    <row r="1308" spans="45:45" ht="61.5" x14ac:dyDescent="0.9">
      <c r="AS1308" s="64" t="e">
        <f t="shared" si="175"/>
        <v>#N/A</v>
      </c>
    </row>
    <row r="1309" spans="45:45" ht="61.5" x14ac:dyDescent="0.9">
      <c r="AS1309" s="64" t="e">
        <f t="shared" si="175"/>
        <v>#N/A</v>
      </c>
    </row>
    <row r="1310" spans="45:45" ht="61.5" x14ac:dyDescent="0.9">
      <c r="AS1310" s="64" t="e">
        <f t="shared" si="175"/>
        <v>#N/A</v>
      </c>
    </row>
    <row r="1311" spans="45:45" ht="61.5" x14ac:dyDescent="0.9">
      <c r="AS1311" s="64" t="e">
        <f t="shared" si="175"/>
        <v>#N/A</v>
      </c>
    </row>
    <row r="1312" spans="45:45" ht="61.5" x14ac:dyDescent="0.9">
      <c r="AS1312" s="64" t="e">
        <f t="shared" si="175"/>
        <v>#N/A</v>
      </c>
    </row>
    <row r="1313" spans="45:45" ht="61.5" x14ac:dyDescent="0.9">
      <c r="AS1313" s="64" t="e">
        <f t="shared" si="175"/>
        <v>#N/A</v>
      </c>
    </row>
    <row r="1314" spans="45:45" ht="61.5" x14ac:dyDescent="0.9">
      <c r="AS1314" s="64" t="e">
        <f t="shared" si="175"/>
        <v>#N/A</v>
      </c>
    </row>
    <row r="1315" spans="45:45" ht="61.5" x14ac:dyDescent="0.9">
      <c r="AS1315" s="64" t="e">
        <f t="shared" si="175"/>
        <v>#N/A</v>
      </c>
    </row>
    <row r="1316" spans="45:45" ht="61.5" x14ac:dyDescent="0.9">
      <c r="AS1316" s="64" t="e">
        <f t="shared" si="175"/>
        <v>#N/A</v>
      </c>
    </row>
    <row r="1317" spans="45:45" ht="61.5" x14ac:dyDescent="0.9">
      <c r="AS1317" s="64" t="e">
        <f t="shared" si="175"/>
        <v>#N/A</v>
      </c>
    </row>
    <row r="1318" spans="45:45" ht="61.5" x14ac:dyDescent="0.9">
      <c r="AS1318" s="64" t="e">
        <f t="shared" si="175"/>
        <v>#N/A</v>
      </c>
    </row>
    <row r="1319" spans="45:45" ht="61.5" x14ac:dyDescent="0.9">
      <c r="AS1319" s="64" t="e">
        <f t="shared" si="175"/>
        <v>#N/A</v>
      </c>
    </row>
    <row r="1320" spans="45:45" ht="61.5" x14ac:dyDescent="0.9">
      <c r="AS1320" s="64" t="e">
        <f t="shared" si="175"/>
        <v>#N/A</v>
      </c>
    </row>
    <row r="1321" spans="45:45" ht="61.5" x14ac:dyDescent="0.9">
      <c r="AS1321" s="64" t="e">
        <f t="shared" si="175"/>
        <v>#N/A</v>
      </c>
    </row>
    <row r="1322" spans="45:45" ht="61.5" x14ac:dyDescent="0.9">
      <c r="AS1322" s="64" t="e">
        <f t="shared" si="175"/>
        <v>#N/A</v>
      </c>
    </row>
    <row r="1323" spans="45:45" ht="61.5" x14ac:dyDescent="0.9">
      <c r="AS1323" s="64" t="e">
        <f t="shared" si="175"/>
        <v>#N/A</v>
      </c>
    </row>
    <row r="1324" spans="45:45" ht="61.5" x14ac:dyDescent="0.9">
      <c r="AS1324" s="64" t="e">
        <f t="shared" si="175"/>
        <v>#N/A</v>
      </c>
    </row>
    <row r="1325" spans="45:45" ht="61.5" x14ac:dyDescent="0.9">
      <c r="AS1325" s="64" t="e">
        <f t="shared" si="175"/>
        <v>#N/A</v>
      </c>
    </row>
    <row r="1326" spans="45:45" ht="61.5" x14ac:dyDescent="0.9">
      <c r="AS1326" s="64" t="e">
        <f t="shared" si="175"/>
        <v>#N/A</v>
      </c>
    </row>
    <row r="1327" spans="45:45" ht="61.5" x14ac:dyDescent="0.9">
      <c r="AS1327" s="64" t="e">
        <f t="shared" si="175"/>
        <v>#N/A</v>
      </c>
    </row>
    <row r="1328" spans="45:45" ht="61.5" x14ac:dyDescent="0.9">
      <c r="AS1328" s="64" t="e">
        <f t="shared" si="175"/>
        <v>#N/A</v>
      </c>
    </row>
    <row r="1329" spans="45:45" ht="61.5" x14ac:dyDescent="0.9">
      <c r="AS1329" s="64" t="e">
        <f t="shared" si="175"/>
        <v>#N/A</v>
      </c>
    </row>
    <row r="1330" spans="45:45" ht="61.5" x14ac:dyDescent="0.9">
      <c r="AS1330" s="64" t="e">
        <f t="shared" si="175"/>
        <v>#N/A</v>
      </c>
    </row>
    <row r="1331" spans="45:45" ht="61.5" x14ac:dyDescent="0.9">
      <c r="AS1331" s="64" t="e">
        <f t="shared" si="175"/>
        <v>#N/A</v>
      </c>
    </row>
    <row r="1332" spans="45:45" ht="61.5" x14ac:dyDescent="0.9">
      <c r="AS1332" s="64" t="e">
        <f t="shared" si="175"/>
        <v>#N/A</v>
      </c>
    </row>
    <row r="1333" spans="45:45" ht="61.5" x14ac:dyDescent="0.9">
      <c r="AS1333" s="64" t="e">
        <f t="shared" si="175"/>
        <v>#N/A</v>
      </c>
    </row>
    <row r="1334" spans="45:45" ht="61.5" x14ac:dyDescent="0.9">
      <c r="AS1334" s="64" t="e">
        <f t="shared" si="175"/>
        <v>#N/A</v>
      </c>
    </row>
    <row r="1335" spans="45:45" ht="61.5" x14ac:dyDescent="0.9">
      <c r="AS1335" s="64" t="e">
        <f t="shared" si="175"/>
        <v>#N/A</v>
      </c>
    </row>
    <row r="1336" spans="45:45" ht="61.5" x14ac:dyDescent="0.9">
      <c r="AS1336" s="64" t="e">
        <f t="shared" si="175"/>
        <v>#N/A</v>
      </c>
    </row>
    <row r="1337" spans="45:45" ht="61.5" x14ac:dyDescent="0.9">
      <c r="AS1337" s="64" t="e">
        <f t="shared" si="175"/>
        <v>#N/A</v>
      </c>
    </row>
    <row r="1338" spans="45:45" ht="61.5" x14ac:dyDescent="0.9">
      <c r="AS1338" s="64" t="e">
        <f t="shared" si="175"/>
        <v>#N/A</v>
      </c>
    </row>
    <row r="1339" spans="45:45" ht="61.5" x14ac:dyDescent="0.9">
      <c r="AS1339" s="64" t="e">
        <f t="shared" si="175"/>
        <v>#N/A</v>
      </c>
    </row>
    <row r="1340" spans="45:45" ht="61.5" x14ac:dyDescent="0.9">
      <c r="AS1340" s="64" t="e">
        <f t="shared" si="175"/>
        <v>#N/A</v>
      </c>
    </row>
    <row r="1341" spans="45:45" ht="61.5" x14ac:dyDescent="0.9">
      <c r="AS1341" s="64" t="e">
        <f t="shared" si="175"/>
        <v>#N/A</v>
      </c>
    </row>
    <row r="1342" spans="45:45" ht="61.5" x14ac:dyDescent="0.9">
      <c r="AS1342" s="64" t="e">
        <f t="shared" si="175"/>
        <v>#N/A</v>
      </c>
    </row>
    <row r="1343" spans="45:45" ht="61.5" x14ac:dyDescent="0.9">
      <c r="AS1343" s="64" t="e">
        <f t="shared" si="175"/>
        <v>#N/A</v>
      </c>
    </row>
    <row r="1344" spans="45:45" ht="61.5" x14ac:dyDescent="0.9">
      <c r="AS1344" s="64" t="e">
        <f t="shared" si="175"/>
        <v>#N/A</v>
      </c>
    </row>
    <row r="1345" spans="45:45" ht="61.5" x14ac:dyDescent="0.9">
      <c r="AS1345" s="64" t="e">
        <f t="shared" si="175"/>
        <v>#N/A</v>
      </c>
    </row>
    <row r="1346" spans="45:45" ht="61.5" x14ac:dyDescent="0.9">
      <c r="AS1346" s="64" t="e">
        <f t="shared" si="175"/>
        <v>#N/A</v>
      </c>
    </row>
    <row r="1347" spans="45:45" ht="61.5" x14ac:dyDescent="0.9">
      <c r="AS1347" s="64" t="e">
        <f t="shared" si="175"/>
        <v>#N/A</v>
      </c>
    </row>
    <row r="1348" spans="45:45" ht="61.5" x14ac:dyDescent="0.9">
      <c r="AS1348" s="64" t="e">
        <f t="shared" si="175"/>
        <v>#N/A</v>
      </c>
    </row>
    <row r="1349" spans="45:45" ht="61.5" x14ac:dyDescent="0.9">
      <c r="AS1349" s="64" t="e">
        <f t="shared" si="175"/>
        <v>#N/A</v>
      </c>
    </row>
    <row r="1350" spans="45:45" ht="61.5" x14ac:dyDescent="0.9">
      <c r="AS1350" s="64" t="e">
        <f t="shared" si="175"/>
        <v>#N/A</v>
      </c>
    </row>
    <row r="1351" spans="45:45" ht="61.5" x14ac:dyDescent="0.9">
      <c r="AS1351" s="64" t="e">
        <f t="shared" si="175"/>
        <v>#N/A</v>
      </c>
    </row>
    <row r="1352" spans="45:45" ht="61.5" x14ac:dyDescent="0.9">
      <c r="AS1352" s="64" t="e">
        <f t="shared" si="175"/>
        <v>#N/A</v>
      </c>
    </row>
    <row r="1353" spans="45:45" ht="61.5" x14ac:dyDescent="0.9">
      <c r="AS1353" s="64" t="e">
        <f t="shared" si="175"/>
        <v>#N/A</v>
      </c>
    </row>
    <row r="1354" spans="45:45" ht="61.5" x14ac:dyDescent="0.9">
      <c r="AS1354" s="64" t="e">
        <f t="shared" si="175"/>
        <v>#N/A</v>
      </c>
    </row>
    <row r="1355" spans="45:45" ht="61.5" x14ac:dyDescent="0.9">
      <c r="AS1355" s="64" t="e">
        <f t="shared" si="175"/>
        <v>#N/A</v>
      </c>
    </row>
    <row r="1356" spans="45:45" ht="61.5" x14ac:dyDescent="0.9">
      <c r="AS1356" s="64" t="e">
        <f t="shared" si="175"/>
        <v>#N/A</v>
      </c>
    </row>
    <row r="1357" spans="45:45" ht="61.5" x14ac:dyDescent="0.9">
      <c r="AS1357" s="64" t="e">
        <f t="shared" si="175"/>
        <v>#N/A</v>
      </c>
    </row>
    <row r="1358" spans="45:45" ht="61.5" x14ac:dyDescent="0.9">
      <c r="AS1358" s="64" t="e">
        <f t="shared" si="175"/>
        <v>#N/A</v>
      </c>
    </row>
    <row r="1359" spans="45:45" ht="61.5" x14ac:dyDescent="0.9">
      <c r="AS1359" s="64" t="e">
        <f t="shared" si="175"/>
        <v>#N/A</v>
      </c>
    </row>
    <row r="1360" spans="45:45" ht="61.5" x14ac:dyDescent="0.9">
      <c r="AS1360" s="64" t="e">
        <f t="shared" si="175"/>
        <v>#N/A</v>
      </c>
    </row>
    <row r="1361" spans="45:45" ht="61.5" x14ac:dyDescent="0.9">
      <c r="AS1361" s="64" t="e">
        <f t="shared" ref="AS1361:AS1424" si="176">VLOOKUP(C1361,AU:AV,2,FALSE)</f>
        <v>#N/A</v>
      </c>
    </row>
    <row r="1362" spans="45:45" ht="61.5" x14ac:dyDescent="0.9">
      <c r="AS1362" s="64" t="e">
        <f t="shared" si="176"/>
        <v>#N/A</v>
      </c>
    </row>
    <row r="1363" spans="45:45" ht="61.5" x14ac:dyDescent="0.9">
      <c r="AS1363" s="64" t="e">
        <f t="shared" si="176"/>
        <v>#N/A</v>
      </c>
    </row>
    <row r="1364" spans="45:45" ht="61.5" x14ac:dyDescent="0.9">
      <c r="AS1364" s="64" t="e">
        <f t="shared" si="176"/>
        <v>#N/A</v>
      </c>
    </row>
    <row r="1365" spans="45:45" ht="61.5" x14ac:dyDescent="0.9">
      <c r="AS1365" s="64" t="e">
        <f t="shared" si="176"/>
        <v>#N/A</v>
      </c>
    </row>
    <row r="1366" spans="45:45" ht="61.5" x14ac:dyDescent="0.9">
      <c r="AS1366" s="64" t="e">
        <f t="shared" si="176"/>
        <v>#N/A</v>
      </c>
    </row>
    <row r="1367" spans="45:45" ht="61.5" x14ac:dyDescent="0.9">
      <c r="AS1367" s="64" t="e">
        <f t="shared" si="176"/>
        <v>#N/A</v>
      </c>
    </row>
    <row r="1368" spans="45:45" ht="61.5" x14ac:dyDescent="0.9">
      <c r="AS1368" s="64" t="e">
        <f t="shared" si="176"/>
        <v>#N/A</v>
      </c>
    </row>
    <row r="1369" spans="45:45" ht="61.5" x14ac:dyDescent="0.9">
      <c r="AS1369" s="64" t="e">
        <f t="shared" si="176"/>
        <v>#N/A</v>
      </c>
    </row>
    <row r="1370" spans="45:45" ht="61.5" x14ac:dyDescent="0.9">
      <c r="AS1370" s="64" t="e">
        <f t="shared" si="176"/>
        <v>#N/A</v>
      </c>
    </row>
    <row r="1371" spans="45:45" ht="61.5" x14ac:dyDescent="0.9">
      <c r="AS1371" s="64" t="e">
        <f t="shared" si="176"/>
        <v>#N/A</v>
      </c>
    </row>
    <row r="1372" spans="45:45" ht="61.5" x14ac:dyDescent="0.9">
      <c r="AS1372" s="64" t="e">
        <f t="shared" si="176"/>
        <v>#N/A</v>
      </c>
    </row>
    <row r="1373" spans="45:45" ht="61.5" x14ac:dyDescent="0.9">
      <c r="AS1373" s="64" t="e">
        <f t="shared" si="176"/>
        <v>#N/A</v>
      </c>
    </row>
    <row r="1374" spans="45:45" ht="61.5" x14ac:dyDescent="0.9">
      <c r="AS1374" s="64" t="e">
        <f t="shared" si="176"/>
        <v>#N/A</v>
      </c>
    </row>
    <row r="1375" spans="45:45" ht="61.5" x14ac:dyDescent="0.9">
      <c r="AS1375" s="64" t="e">
        <f t="shared" si="176"/>
        <v>#N/A</v>
      </c>
    </row>
    <row r="1376" spans="45:45" ht="61.5" x14ac:dyDescent="0.9">
      <c r="AS1376" s="64" t="e">
        <f t="shared" si="176"/>
        <v>#N/A</v>
      </c>
    </row>
    <row r="1377" spans="45:45" ht="61.5" x14ac:dyDescent="0.9">
      <c r="AS1377" s="64" t="e">
        <f t="shared" si="176"/>
        <v>#N/A</v>
      </c>
    </row>
    <row r="1378" spans="45:45" ht="61.5" x14ac:dyDescent="0.9">
      <c r="AS1378" s="64" t="e">
        <f t="shared" si="176"/>
        <v>#N/A</v>
      </c>
    </row>
    <row r="1379" spans="45:45" ht="61.5" x14ac:dyDescent="0.9">
      <c r="AS1379" s="64" t="e">
        <f t="shared" si="176"/>
        <v>#N/A</v>
      </c>
    </row>
    <row r="1380" spans="45:45" ht="61.5" x14ac:dyDescent="0.9">
      <c r="AS1380" s="64" t="e">
        <f t="shared" si="176"/>
        <v>#N/A</v>
      </c>
    </row>
    <row r="1381" spans="45:45" ht="61.5" x14ac:dyDescent="0.9">
      <c r="AS1381" s="64" t="e">
        <f t="shared" si="176"/>
        <v>#N/A</v>
      </c>
    </row>
    <row r="1382" spans="45:45" ht="61.5" x14ac:dyDescent="0.9">
      <c r="AS1382" s="64" t="e">
        <f t="shared" si="176"/>
        <v>#N/A</v>
      </c>
    </row>
    <row r="1383" spans="45:45" ht="61.5" x14ac:dyDescent="0.9">
      <c r="AS1383" s="64" t="e">
        <f t="shared" si="176"/>
        <v>#N/A</v>
      </c>
    </row>
    <row r="1384" spans="45:45" ht="61.5" x14ac:dyDescent="0.9">
      <c r="AS1384" s="64" t="e">
        <f t="shared" si="176"/>
        <v>#N/A</v>
      </c>
    </row>
    <row r="1385" spans="45:45" ht="61.5" x14ac:dyDescent="0.9">
      <c r="AS1385" s="64" t="e">
        <f t="shared" si="176"/>
        <v>#N/A</v>
      </c>
    </row>
    <row r="1386" spans="45:45" ht="61.5" x14ac:dyDescent="0.9">
      <c r="AS1386" s="64" t="e">
        <f t="shared" si="176"/>
        <v>#N/A</v>
      </c>
    </row>
    <row r="1387" spans="45:45" ht="61.5" x14ac:dyDescent="0.9">
      <c r="AS1387" s="64" t="e">
        <f t="shared" si="176"/>
        <v>#N/A</v>
      </c>
    </row>
    <row r="1388" spans="45:45" ht="61.5" x14ac:dyDescent="0.9">
      <c r="AS1388" s="64" t="e">
        <f t="shared" si="176"/>
        <v>#N/A</v>
      </c>
    </row>
    <row r="1389" spans="45:45" ht="61.5" x14ac:dyDescent="0.9">
      <c r="AS1389" s="64" t="e">
        <f t="shared" si="176"/>
        <v>#N/A</v>
      </c>
    </row>
    <row r="1390" spans="45:45" ht="61.5" x14ac:dyDescent="0.9">
      <c r="AS1390" s="64" t="e">
        <f t="shared" si="176"/>
        <v>#N/A</v>
      </c>
    </row>
    <row r="1391" spans="45:45" ht="61.5" x14ac:dyDescent="0.9">
      <c r="AS1391" s="64" t="e">
        <f t="shared" si="176"/>
        <v>#N/A</v>
      </c>
    </row>
    <row r="1392" spans="45:45" ht="61.5" x14ac:dyDescent="0.9">
      <c r="AS1392" s="64" t="e">
        <f t="shared" si="176"/>
        <v>#N/A</v>
      </c>
    </row>
    <row r="1393" spans="45:45" ht="61.5" x14ac:dyDescent="0.9">
      <c r="AS1393" s="64" t="e">
        <f t="shared" si="176"/>
        <v>#N/A</v>
      </c>
    </row>
    <row r="1394" spans="45:45" ht="61.5" x14ac:dyDescent="0.9">
      <c r="AS1394" s="64" t="e">
        <f t="shared" si="176"/>
        <v>#N/A</v>
      </c>
    </row>
    <row r="1395" spans="45:45" ht="61.5" x14ac:dyDescent="0.9">
      <c r="AS1395" s="64" t="e">
        <f t="shared" si="176"/>
        <v>#N/A</v>
      </c>
    </row>
    <row r="1396" spans="45:45" ht="61.5" x14ac:dyDescent="0.9">
      <c r="AS1396" s="64" t="e">
        <f t="shared" si="176"/>
        <v>#N/A</v>
      </c>
    </row>
    <row r="1397" spans="45:45" ht="61.5" x14ac:dyDescent="0.9">
      <c r="AS1397" s="64" t="e">
        <f t="shared" si="176"/>
        <v>#N/A</v>
      </c>
    </row>
    <row r="1398" spans="45:45" ht="61.5" x14ac:dyDescent="0.9">
      <c r="AS1398" s="64" t="e">
        <f t="shared" si="176"/>
        <v>#N/A</v>
      </c>
    </row>
    <row r="1399" spans="45:45" ht="61.5" x14ac:dyDescent="0.9">
      <c r="AS1399" s="64" t="e">
        <f t="shared" si="176"/>
        <v>#N/A</v>
      </c>
    </row>
    <row r="1400" spans="45:45" ht="61.5" x14ac:dyDescent="0.9">
      <c r="AS1400" s="64" t="e">
        <f t="shared" si="176"/>
        <v>#N/A</v>
      </c>
    </row>
    <row r="1401" spans="45:45" ht="61.5" x14ac:dyDescent="0.9">
      <c r="AS1401" s="64" t="e">
        <f t="shared" si="176"/>
        <v>#N/A</v>
      </c>
    </row>
    <row r="1402" spans="45:45" ht="61.5" x14ac:dyDescent="0.9">
      <c r="AS1402" s="64" t="e">
        <f t="shared" si="176"/>
        <v>#N/A</v>
      </c>
    </row>
    <row r="1403" spans="45:45" ht="61.5" x14ac:dyDescent="0.9">
      <c r="AS1403" s="64" t="e">
        <f t="shared" si="176"/>
        <v>#N/A</v>
      </c>
    </row>
    <row r="1404" spans="45:45" ht="61.5" x14ac:dyDescent="0.9">
      <c r="AS1404" s="64" t="e">
        <f t="shared" si="176"/>
        <v>#N/A</v>
      </c>
    </row>
    <row r="1405" spans="45:45" ht="61.5" x14ac:dyDescent="0.9">
      <c r="AS1405" s="64" t="e">
        <f t="shared" si="176"/>
        <v>#N/A</v>
      </c>
    </row>
    <row r="1406" spans="45:45" ht="61.5" x14ac:dyDescent="0.9">
      <c r="AS1406" s="64" t="e">
        <f t="shared" si="176"/>
        <v>#N/A</v>
      </c>
    </row>
    <row r="1407" spans="45:45" ht="61.5" x14ac:dyDescent="0.9">
      <c r="AS1407" s="64" t="e">
        <f t="shared" si="176"/>
        <v>#N/A</v>
      </c>
    </row>
    <row r="1408" spans="45:45" ht="61.5" x14ac:dyDescent="0.9">
      <c r="AS1408" s="64" t="e">
        <f t="shared" si="176"/>
        <v>#N/A</v>
      </c>
    </row>
    <row r="1409" spans="45:45" ht="61.5" x14ac:dyDescent="0.9">
      <c r="AS1409" s="64" t="e">
        <f t="shared" si="176"/>
        <v>#N/A</v>
      </c>
    </row>
    <row r="1410" spans="45:45" ht="61.5" x14ac:dyDescent="0.9">
      <c r="AS1410" s="64" t="e">
        <f t="shared" si="176"/>
        <v>#N/A</v>
      </c>
    </row>
    <row r="1411" spans="45:45" ht="61.5" x14ac:dyDescent="0.9">
      <c r="AS1411" s="64" t="e">
        <f t="shared" si="176"/>
        <v>#N/A</v>
      </c>
    </row>
    <row r="1412" spans="45:45" ht="61.5" x14ac:dyDescent="0.9">
      <c r="AS1412" s="64" t="e">
        <f t="shared" si="176"/>
        <v>#N/A</v>
      </c>
    </row>
    <row r="1413" spans="45:45" ht="61.5" x14ac:dyDescent="0.9">
      <c r="AS1413" s="64" t="e">
        <f t="shared" si="176"/>
        <v>#N/A</v>
      </c>
    </row>
    <row r="1414" spans="45:45" ht="61.5" x14ac:dyDescent="0.9">
      <c r="AS1414" s="64" t="e">
        <f t="shared" si="176"/>
        <v>#N/A</v>
      </c>
    </row>
    <row r="1415" spans="45:45" ht="61.5" x14ac:dyDescent="0.9">
      <c r="AS1415" s="64" t="e">
        <f t="shared" si="176"/>
        <v>#N/A</v>
      </c>
    </row>
    <row r="1416" spans="45:45" ht="61.5" x14ac:dyDescent="0.9">
      <c r="AS1416" s="64" t="e">
        <f t="shared" si="176"/>
        <v>#N/A</v>
      </c>
    </row>
    <row r="1417" spans="45:45" ht="61.5" x14ac:dyDescent="0.9">
      <c r="AS1417" s="64" t="e">
        <f t="shared" si="176"/>
        <v>#N/A</v>
      </c>
    </row>
    <row r="1418" spans="45:45" ht="61.5" x14ac:dyDescent="0.9">
      <c r="AS1418" s="64" t="e">
        <f t="shared" si="176"/>
        <v>#N/A</v>
      </c>
    </row>
    <row r="1419" spans="45:45" ht="61.5" x14ac:dyDescent="0.9">
      <c r="AS1419" s="64" t="e">
        <f t="shared" si="176"/>
        <v>#N/A</v>
      </c>
    </row>
    <row r="1420" spans="45:45" ht="61.5" x14ac:dyDescent="0.9">
      <c r="AS1420" s="64" t="e">
        <f t="shared" si="176"/>
        <v>#N/A</v>
      </c>
    </row>
    <row r="1421" spans="45:45" ht="61.5" x14ac:dyDescent="0.9">
      <c r="AS1421" s="64" t="e">
        <f t="shared" si="176"/>
        <v>#N/A</v>
      </c>
    </row>
    <row r="1422" spans="45:45" ht="61.5" x14ac:dyDescent="0.9">
      <c r="AS1422" s="64" t="e">
        <f t="shared" si="176"/>
        <v>#N/A</v>
      </c>
    </row>
    <row r="1423" spans="45:45" ht="61.5" x14ac:dyDescent="0.9">
      <c r="AS1423" s="64" t="e">
        <f t="shared" si="176"/>
        <v>#N/A</v>
      </c>
    </row>
    <row r="1424" spans="45:45" ht="61.5" x14ac:dyDescent="0.9">
      <c r="AS1424" s="64" t="e">
        <f t="shared" si="176"/>
        <v>#N/A</v>
      </c>
    </row>
    <row r="1425" spans="45:45" ht="61.5" x14ac:dyDescent="0.9">
      <c r="AS1425" s="64" t="e">
        <f t="shared" ref="AS1425:AS1488" si="177">VLOOKUP(C1425,AU:AV,2,FALSE)</f>
        <v>#N/A</v>
      </c>
    </row>
    <row r="1426" spans="45:45" ht="61.5" x14ac:dyDescent="0.9">
      <c r="AS1426" s="64" t="e">
        <f t="shared" si="177"/>
        <v>#N/A</v>
      </c>
    </row>
    <row r="1427" spans="45:45" ht="61.5" x14ac:dyDescent="0.9">
      <c r="AS1427" s="64" t="e">
        <f t="shared" si="177"/>
        <v>#N/A</v>
      </c>
    </row>
    <row r="1428" spans="45:45" ht="61.5" x14ac:dyDescent="0.9">
      <c r="AS1428" s="64" t="e">
        <f t="shared" si="177"/>
        <v>#N/A</v>
      </c>
    </row>
    <row r="1429" spans="45:45" ht="61.5" x14ac:dyDescent="0.9">
      <c r="AS1429" s="64" t="e">
        <f t="shared" si="177"/>
        <v>#N/A</v>
      </c>
    </row>
    <row r="1430" spans="45:45" ht="61.5" x14ac:dyDescent="0.9">
      <c r="AS1430" s="64" t="e">
        <f t="shared" si="177"/>
        <v>#N/A</v>
      </c>
    </row>
    <row r="1431" spans="45:45" ht="61.5" x14ac:dyDescent="0.9">
      <c r="AS1431" s="64" t="e">
        <f t="shared" si="177"/>
        <v>#N/A</v>
      </c>
    </row>
    <row r="1432" spans="45:45" ht="61.5" x14ac:dyDescent="0.9">
      <c r="AS1432" s="64" t="e">
        <f t="shared" si="177"/>
        <v>#N/A</v>
      </c>
    </row>
    <row r="1433" spans="45:45" ht="61.5" x14ac:dyDescent="0.9">
      <c r="AS1433" s="64" t="e">
        <f t="shared" si="177"/>
        <v>#N/A</v>
      </c>
    </row>
    <row r="1434" spans="45:45" ht="61.5" x14ac:dyDescent="0.9">
      <c r="AS1434" s="64" t="e">
        <f t="shared" si="177"/>
        <v>#N/A</v>
      </c>
    </row>
    <row r="1435" spans="45:45" ht="61.5" x14ac:dyDescent="0.9">
      <c r="AS1435" s="64" t="e">
        <f t="shared" si="177"/>
        <v>#N/A</v>
      </c>
    </row>
    <row r="1436" spans="45:45" ht="61.5" x14ac:dyDescent="0.9">
      <c r="AS1436" s="64" t="e">
        <f t="shared" si="177"/>
        <v>#N/A</v>
      </c>
    </row>
    <row r="1437" spans="45:45" ht="61.5" x14ac:dyDescent="0.9">
      <c r="AS1437" s="64" t="e">
        <f t="shared" si="177"/>
        <v>#N/A</v>
      </c>
    </row>
    <row r="1438" spans="45:45" ht="61.5" x14ac:dyDescent="0.9">
      <c r="AS1438" s="64" t="e">
        <f t="shared" si="177"/>
        <v>#N/A</v>
      </c>
    </row>
    <row r="1439" spans="45:45" ht="61.5" x14ac:dyDescent="0.9">
      <c r="AS1439" s="64" t="e">
        <f t="shared" si="177"/>
        <v>#N/A</v>
      </c>
    </row>
    <row r="1440" spans="45:45" ht="61.5" x14ac:dyDescent="0.9">
      <c r="AS1440" s="64" t="e">
        <f t="shared" si="177"/>
        <v>#N/A</v>
      </c>
    </row>
    <row r="1441" spans="45:45" ht="61.5" x14ac:dyDescent="0.9">
      <c r="AS1441" s="64" t="e">
        <f t="shared" si="177"/>
        <v>#N/A</v>
      </c>
    </row>
    <row r="1442" spans="45:45" ht="61.5" x14ac:dyDescent="0.9">
      <c r="AS1442" s="64" t="e">
        <f t="shared" si="177"/>
        <v>#N/A</v>
      </c>
    </row>
    <row r="1443" spans="45:45" ht="61.5" x14ac:dyDescent="0.9">
      <c r="AS1443" s="64" t="e">
        <f t="shared" si="177"/>
        <v>#N/A</v>
      </c>
    </row>
    <row r="1444" spans="45:45" ht="61.5" x14ac:dyDescent="0.9">
      <c r="AS1444" s="64" t="e">
        <f t="shared" si="177"/>
        <v>#N/A</v>
      </c>
    </row>
    <row r="1445" spans="45:45" ht="61.5" x14ac:dyDescent="0.9">
      <c r="AS1445" s="64" t="e">
        <f t="shared" si="177"/>
        <v>#N/A</v>
      </c>
    </row>
    <row r="1446" spans="45:45" ht="61.5" x14ac:dyDescent="0.9">
      <c r="AS1446" s="64" t="e">
        <f t="shared" si="177"/>
        <v>#N/A</v>
      </c>
    </row>
    <row r="1447" spans="45:45" ht="61.5" x14ac:dyDescent="0.9">
      <c r="AS1447" s="64" t="e">
        <f t="shared" si="177"/>
        <v>#N/A</v>
      </c>
    </row>
    <row r="1448" spans="45:45" ht="61.5" x14ac:dyDescent="0.9">
      <c r="AS1448" s="64" t="e">
        <f t="shared" si="177"/>
        <v>#N/A</v>
      </c>
    </row>
    <row r="1449" spans="45:45" ht="61.5" x14ac:dyDescent="0.9">
      <c r="AS1449" s="64" t="e">
        <f t="shared" si="177"/>
        <v>#N/A</v>
      </c>
    </row>
    <row r="1450" spans="45:45" ht="61.5" x14ac:dyDescent="0.9">
      <c r="AS1450" s="64" t="e">
        <f t="shared" si="177"/>
        <v>#N/A</v>
      </c>
    </row>
    <row r="1451" spans="45:45" ht="61.5" x14ac:dyDescent="0.9">
      <c r="AS1451" s="64" t="e">
        <f t="shared" si="177"/>
        <v>#N/A</v>
      </c>
    </row>
    <row r="1452" spans="45:45" ht="61.5" x14ac:dyDescent="0.9">
      <c r="AS1452" s="64" t="e">
        <f t="shared" si="177"/>
        <v>#N/A</v>
      </c>
    </row>
    <row r="1453" spans="45:45" ht="61.5" x14ac:dyDescent="0.9">
      <c r="AS1453" s="64" t="e">
        <f t="shared" si="177"/>
        <v>#N/A</v>
      </c>
    </row>
    <row r="1454" spans="45:45" ht="61.5" x14ac:dyDescent="0.9">
      <c r="AS1454" s="64" t="e">
        <f t="shared" si="177"/>
        <v>#N/A</v>
      </c>
    </row>
    <row r="1455" spans="45:45" ht="61.5" x14ac:dyDescent="0.9">
      <c r="AS1455" s="64" t="e">
        <f t="shared" si="177"/>
        <v>#N/A</v>
      </c>
    </row>
    <row r="1456" spans="45:45" ht="61.5" x14ac:dyDescent="0.9">
      <c r="AS1456" s="64" t="e">
        <f t="shared" si="177"/>
        <v>#N/A</v>
      </c>
    </row>
    <row r="1457" spans="45:45" ht="61.5" x14ac:dyDescent="0.9">
      <c r="AS1457" s="64" t="e">
        <f t="shared" si="177"/>
        <v>#N/A</v>
      </c>
    </row>
    <row r="1458" spans="45:45" ht="61.5" x14ac:dyDescent="0.9">
      <c r="AS1458" s="64" t="e">
        <f t="shared" si="177"/>
        <v>#N/A</v>
      </c>
    </row>
    <row r="1459" spans="45:45" ht="61.5" x14ac:dyDescent="0.9">
      <c r="AS1459" s="64" t="e">
        <f t="shared" si="177"/>
        <v>#N/A</v>
      </c>
    </row>
    <row r="1460" spans="45:45" ht="61.5" x14ac:dyDescent="0.9">
      <c r="AS1460" s="64" t="e">
        <f t="shared" si="177"/>
        <v>#N/A</v>
      </c>
    </row>
    <row r="1461" spans="45:45" ht="61.5" x14ac:dyDescent="0.9">
      <c r="AS1461" s="64" t="e">
        <f t="shared" si="177"/>
        <v>#N/A</v>
      </c>
    </row>
    <row r="1462" spans="45:45" ht="61.5" x14ac:dyDescent="0.9">
      <c r="AS1462" s="64" t="e">
        <f t="shared" si="177"/>
        <v>#N/A</v>
      </c>
    </row>
    <row r="1463" spans="45:45" ht="61.5" x14ac:dyDescent="0.9">
      <c r="AS1463" s="64" t="e">
        <f t="shared" si="177"/>
        <v>#N/A</v>
      </c>
    </row>
    <row r="1464" spans="45:45" ht="61.5" x14ac:dyDescent="0.9">
      <c r="AS1464" s="64" t="e">
        <f t="shared" si="177"/>
        <v>#N/A</v>
      </c>
    </row>
    <row r="1465" spans="45:45" ht="61.5" x14ac:dyDescent="0.9">
      <c r="AS1465" s="64" t="e">
        <f t="shared" si="177"/>
        <v>#N/A</v>
      </c>
    </row>
    <row r="1466" spans="45:45" ht="61.5" x14ac:dyDescent="0.9">
      <c r="AS1466" s="64" t="e">
        <f t="shared" si="177"/>
        <v>#N/A</v>
      </c>
    </row>
    <row r="1467" spans="45:45" ht="61.5" x14ac:dyDescent="0.9">
      <c r="AS1467" s="64" t="e">
        <f t="shared" si="177"/>
        <v>#N/A</v>
      </c>
    </row>
    <row r="1468" spans="45:45" ht="61.5" x14ac:dyDescent="0.9">
      <c r="AS1468" s="64" t="e">
        <f t="shared" si="177"/>
        <v>#N/A</v>
      </c>
    </row>
    <row r="1469" spans="45:45" ht="61.5" x14ac:dyDescent="0.9">
      <c r="AS1469" s="64" t="e">
        <f t="shared" si="177"/>
        <v>#N/A</v>
      </c>
    </row>
    <row r="1470" spans="45:45" ht="61.5" x14ac:dyDescent="0.9">
      <c r="AS1470" s="64" t="e">
        <f t="shared" si="177"/>
        <v>#N/A</v>
      </c>
    </row>
    <row r="1471" spans="45:45" ht="61.5" x14ac:dyDescent="0.9">
      <c r="AS1471" s="64" t="e">
        <f t="shared" si="177"/>
        <v>#N/A</v>
      </c>
    </row>
    <row r="1472" spans="45:45" ht="61.5" x14ac:dyDescent="0.9">
      <c r="AS1472" s="64" t="e">
        <f t="shared" si="177"/>
        <v>#N/A</v>
      </c>
    </row>
    <row r="1473" spans="45:45" ht="61.5" x14ac:dyDescent="0.9">
      <c r="AS1473" s="64" t="e">
        <f t="shared" si="177"/>
        <v>#N/A</v>
      </c>
    </row>
    <row r="1474" spans="45:45" ht="61.5" x14ac:dyDescent="0.9">
      <c r="AS1474" s="64" t="e">
        <f t="shared" si="177"/>
        <v>#N/A</v>
      </c>
    </row>
    <row r="1475" spans="45:45" ht="61.5" x14ac:dyDescent="0.9">
      <c r="AS1475" s="64" t="e">
        <f t="shared" si="177"/>
        <v>#N/A</v>
      </c>
    </row>
    <row r="1476" spans="45:45" ht="61.5" x14ac:dyDescent="0.9">
      <c r="AS1476" s="64" t="e">
        <f t="shared" si="177"/>
        <v>#N/A</v>
      </c>
    </row>
    <row r="1477" spans="45:45" ht="61.5" x14ac:dyDescent="0.9">
      <c r="AS1477" s="64" t="e">
        <f t="shared" si="177"/>
        <v>#N/A</v>
      </c>
    </row>
    <row r="1478" spans="45:45" ht="61.5" x14ac:dyDescent="0.9">
      <c r="AS1478" s="64" t="e">
        <f t="shared" si="177"/>
        <v>#N/A</v>
      </c>
    </row>
    <row r="1479" spans="45:45" ht="61.5" x14ac:dyDescent="0.9">
      <c r="AS1479" s="64" t="e">
        <f t="shared" si="177"/>
        <v>#N/A</v>
      </c>
    </row>
    <row r="1480" spans="45:45" ht="61.5" x14ac:dyDescent="0.9">
      <c r="AS1480" s="64" t="e">
        <f t="shared" si="177"/>
        <v>#N/A</v>
      </c>
    </row>
    <row r="1481" spans="45:45" ht="61.5" x14ac:dyDescent="0.9">
      <c r="AS1481" s="64" t="e">
        <f t="shared" si="177"/>
        <v>#N/A</v>
      </c>
    </row>
    <row r="1482" spans="45:45" ht="61.5" x14ac:dyDescent="0.9">
      <c r="AS1482" s="64" t="e">
        <f t="shared" si="177"/>
        <v>#N/A</v>
      </c>
    </row>
    <row r="1483" spans="45:45" ht="61.5" x14ac:dyDescent="0.9">
      <c r="AS1483" s="64" t="e">
        <f t="shared" si="177"/>
        <v>#N/A</v>
      </c>
    </row>
    <row r="1484" spans="45:45" ht="61.5" x14ac:dyDescent="0.9">
      <c r="AS1484" s="64" t="e">
        <f t="shared" si="177"/>
        <v>#N/A</v>
      </c>
    </row>
    <row r="1485" spans="45:45" ht="61.5" x14ac:dyDescent="0.9">
      <c r="AS1485" s="64" t="e">
        <f t="shared" si="177"/>
        <v>#N/A</v>
      </c>
    </row>
    <row r="1486" spans="45:45" ht="61.5" x14ac:dyDescent="0.9">
      <c r="AS1486" s="64" t="e">
        <f t="shared" si="177"/>
        <v>#N/A</v>
      </c>
    </row>
    <row r="1487" spans="45:45" ht="61.5" x14ac:dyDescent="0.9">
      <c r="AS1487" s="64" t="e">
        <f t="shared" si="177"/>
        <v>#N/A</v>
      </c>
    </row>
    <row r="1488" spans="45:45" ht="61.5" x14ac:dyDescent="0.9">
      <c r="AS1488" s="64" t="e">
        <f t="shared" si="177"/>
        <v>#N/A</v>
      </c>
    </row>
    <row r="1489" spans="45:45" ht="61.5" x14ac:dyDescent="0.9">
      <c r="AS1489" s="64" t="e">
        <f t="shared" ref="AS1489:AS1552" si="178">VLOOKUP(C1489,AU:AV,2,FALSE)</f>
        <v>#N/A</v>
      </c>
    </row>
    <row r="1490" spans="45:45" ht="61.5" x14ac:dyDescent="0.9">
      <c r="AS1490" s="64" t="e">
        <f t="shared" si="178"/>
        <v>#N/A</v>
      </c>
    </row>
    <row r="1491" spans="45:45" ht="61.5" x14ac:dyDescent="0.9">
      <c r="AS1491" s="64" t="e">
        <f t="shared" si="178"/>
        <v>#N/A</v>
      </c>
    </row>
    <row r="1492" spans="45:45" ht="61.5" x14ac:dyDescent="0.9">
      <c r="AS1492" s="64" t="e">
        <f t="shared" si="178"/>
        <v>#N/A</v>
      </c>
    </row>
    <row r="1493" spans="45:45" ht="61.5" x14ac:dyDescent="0.9">
      <c r="AS1493" s="64" t="e">
        <f t="shared" si="178"/>
        <v>#N/A</v>
      </c>
    </row>
    <row r="1494" spans="45:45" ht="61.5" x14ac:dyDescent="0.9">
      <c r="AS1494" s="64" t="e">
        <f t="shared" si="178"/>
        <v>#N/A</v>
      </c>
    </row>
    <row r="1495" spans="45:45" ht="61.5" x14ac:dyDescent="0.9">
      <c r="AS1495" s="64" t="e">
        <f t="shared" si="178"/>
        <v>#N/A</v>
      </c>
    </row>
    <row r="1496" spans="45:45" ht="61.5" x14ac:dyDescent="0.9">
      <c r="AS1496" s="64" t="e">
        <f t="shared" si="178"/>
        <v>#N/A</v>
      </c>
    </row>
    <row r="1497" spans="45:45" ht="61.5" x14ac:dyDescent="0.9">
      <c r="AS1497" s="64" t="e">
        <f t="shared" si="178"/>
        <v>#N/A</v>
      </c>
    </row>
    <row r="1498" spans="45:45" ht="61.5" x14ac:dyDescent="0.9">
      <c r="AS1498" s="64" t="e">
        <f t="shared" si="178"/>
        <v>#N/A</v>
      </c>
    </row>
    <row r="1499" spans="45:45" ht="61.5" x14ac:dyDescent="0.9">
      <c r="AS1499" s="64" t="e">
        <f t="shared" si="178"/>
        <v>#N/A</v>
      </c>
    </row>
    <row r="1500" spans="45:45" ht="61.5" x14ac:dyDescent="0.9">
      <c r="AS1500" s="64" t="e">
        <f t="shared" si="178"/>
        <v>#N/A</v>
      </c>
    </row>
    <row r="1501" spans="45:45" ht="61.5" x14ac:dyDescent="0.9">
      <c r="AS1501" s="64" t="e">
        <f t="shared" si="178"/>
        <v>#N/A</v>
      </c>
    </row>
    <row r="1502" spans="45:45" ht="61.5" x14ac:dyDescent="0.9">
      <c r="AS1502" s="64" t="e">
        <f t="shared" si="178"/>
        <v>#N/A</v>
      </c>
    </row>
    <row r="1503" spans="45:45" ht="61.5" x14ac:dyDescent="0.9">
      <c r="AS1503" s="64" t="e">
        <f t="shared" si="178"/>
        <v>#N/A</v>
      </c>
    </row>
    <row r="1504" spans="45:45" ht="61.5" x14ac:dyDescent="0.9">
      <c r="AS1504" s="64" t="e">
        <f t="shared" si="178"/>
        <v>#N/A</v>
      </c>
    </row>
    <row r="1505" spans="45:45" ht="61.5" x14ac:dyDescent="0.9">
      <c r="AS1505" s="64" t="e">
        <f t="shared" si="178"/>
        <v>#N/A</v>
      </c>
    </row>
    <row r="1506" spans="45:45" ht="61.5" x14ac:dyDescent="0.9">
      <c r="AS1506" s="64" t="e">
        <f t="shared" si="178"/>
        <v>#N/A</v>
      </c>
    </row>
    <row r="1507" spans="45:45" ht="61.5" x14ac:dyDescent="0.9">
      <c r="AS1507" s="64" t="e">
        <f t="shared" si="178"/>
        <v>#N/A</v>
      </c>
    </row>
    <row r="1508" spans="45:45" ht="61.5" x14ac:dyDescent="0.9">
      <c r="AS1508" s="64" t="e">
        <f t="shared" si="178"/>
        <v>#N/A</v>
      </c>
    </row>
    <row r="1509" spans="45:45" ht="61.5" x14ac:dyDescent="0.9">
      <c r="AS1509" s="64" t="e">
        <f t="shared" si="178"/>
        <v>#N/A</v>
      </c>
    </row>
    <row r="1510" spans="45:45" ht="61.5" x14ac:dyDescent="0.9">
      <c r="AS1510" s="64" t="e">
        <f t="shared" si="178"/>
        <v>#N/A</v>
      </c>
    </row>
    <row r="1511" spans="45:45" ht="61.5" x14ac:dyDescent="0.9">
      <c r="AS1511" s="64" t="e">
        <f t="shared" si="178"/>
        <v>#N/A</v>
      </c>
    </row>
    <row r="1512" spans="45:45" ht="61.5" x14ac:dyDescent="0.9">
      <c r="AS1512" s="64" t="e">
        <f t="shared" si="178"/>
        <v>#N/A</v>
      </c>
    </row>
    <row r="1513" spans="45:45" ht="61.5" x14ac:dyDescent="0.9">
      <c r="AS1513" s="64" t="e">
        <f t="shared" si="178"/>
        <v>#N/A</v>
      </c>
    </row>
    <row r="1514" spans="45:45" ht="61.5" x14ac:dyDescent="0.9">
      <c r="AS1514" s="64" t="e">
        <f t="shared" si="178"/>
        <v>#N/A</v>
      </c>
    </row>
    <row r="1515" spans="45:45" ht="61.5" x14ac:dyDescent="0.9">
      <c r="AS1515" s="64" t="e">
        <f t="shared" si="178"/>
        <v>#N/A</v>
      </c>
    </row>
    <row r="1516" spans="45:45" ht="61.5" x14ac:dyDescent="0.9">
      <c r="AS1516" s="64" t="e">
        <f t="shared" si="178"/>
        <v>#N/A</v>
      </c>
    </row>
    <row r="1517" spans="45:45" ht="61.5" x14ac:dyDescent="0.9">
      <c r="AS1517" s="64" t="e">
        <f t="shared" si="178"/>
        <v>#N/A</v>
      </c>
    </row>
    <row r="1518" spans="45:45" ht="61.5" x14ac:dyDescent="0.9">
      <c r="AS1518" s="64" t="e">
        <f t="shared" si="178"/>
        <v>#N/A</v>
      </c>
    </row>
    <row r="1519" spans="45:45" ht="61.5" x14ac:dyDescent="0.9">
      <c r="AS1519" s="64" t="e">
        <f t="shared" si="178"/>
        <v>#N/A</v>
      </c>
    </row>
    <row r="1520" spans="45:45" ht="61.5" x14ac:dyDescent="0.9">
      <c r="AS1520" s="64" t="e">
        <f t="shared" si="178"/>
        <v>#N/A</v>
      </c>
    </row>
    <row r="1521" spans="45:45" ht="61.5" x14ac:dyDescent="0.9">
      <c r="AS1521" s="64" t="e">
        <f t="shared" si="178"/>
        <v>#N/A</v>
      </c>
    </row>
    <row r="1522" spans="45:45" ht="61.5" x14ac:dyDescent="0.9">
      <c r="AS1522" s="64" t="e">
        <f t="shared" si="178"/>
        <v>#N/A</v>
      </c>
    </row>
    <row r="1523" spans="45:45" ht="61.5" x14ac:dyDescent="0.9">
      <c r="AS1523" s="64" t="e">
        <f t="shared" si="178"/>
        <v>#N/A</v>
      </c>
    </row>
    <row r="1524" spans="45:45" ht="61.5" x14ac:dyDescent="0.9">
      <c r="AS1524" s="64" t="e">
        <f t="shared" si="178"/>
        <v>#N/A</v>
      </c>
    </row>
    <row r="1525" spans="45:45" ht="61.5" x14ac:dyDescent="0.9">
      <c r="AS1525" s="64" t="e">
        <f t="shared" si="178"/>
        <v>#N/A</v>
      </c>
    </row>
    <row r="1526" spans="45:45" ht="61.5" x14ac:dyDescent="0.9">
      <c r="AS1526" s="64" t="e">
        <f t="shared" si="178"/>
        <v>#N/A</v>
      </c>
    </row>
    <row r="1527" spans="45:45" ht="61.5" x14ac:dyDescent="0.9">
      <c r="AS1527" s="64" t="e">
        <f t="shared" si="178"/>
        <v>#N/A</v>
      </c>
    </row>
    <row r="1528" spans="45:45" ht="61.5" x14ac:dyDescent="0.9">
      <c r="AS1528" s="64" t="e">
        <f t="shared" si="178"/>
        <v>#N/A</v>
      </c>
    </row>
    <row r="1529" spans="45:45" ht="61.5" x14ac:dyDescent="0.9">
      <c r="AS1529" s="64" t="e">
        <f t="shared" si="178"/>
        <v>#N/A</v>
      </c>
    </row>
    <row r="1530" spans="45:45" ht="61.5" x14ac:dyDescent="0.9">
      <c r="AS1530" s="64" t="e">
        <f t="shared" si="178"/>
        <v>#N/A</v>
      </c>
    </row>
    <row r="1531" spans="45:45" ht="61.5" x14ac:dyDescent="0.9">
      <c r="AS1531" s="64" t="e">
        <f t="shared" si="178"/>
        <v>#N/A</v>
      </c>
    </row>
    <row r="1532" spans="45:45" ht="61.5" x14ac:dyDescent="0.9">
      <c r="AS1532" s="64" t="e">
        <f t="shared" si="178"/>
        <v>#N/A</v>
      </c>
    </row>
    <row r="1533" spans="45:45" ht="61.5" x14ac:dyDescent="0.9">
      <c r="AS1533" s="64" t="e">
        <f t="shared" si="178"/>
        <v>#N/A</v>
      </c>
    </row>
    <row r="1534" spans="45:45" ht="61.5" x14ac:dyDescent="0.9">
      <c r="AS1534" s="64" t="e">
        <f t="shared" si="178"/>
        <v>#N/A</v>
      </c>
    </row>
    <row r="1535" spans="45:45" ht="61.5" x14ac:dyDescent="0.9">
      <c r="AS1535" s="64" t="e">
        <f t="shared" si="178"/>
        <v>#N/A</v>
      </c>
    </row>
    <row r="1536" spans="45:45" ht="61.5" x14ac:dyDescent="0.9">
      <c r="AS1536" s="64" t="e">
        <f t="shared" si="178"/>
        <v>#N/A</v>
      </c>
    </row>
    <row r="1537" spans="45:45" ht="61.5" x14ac:dyDescent="0.9">
      <c r="AS1537" s="64" t="e">
        <f t="shared" si="178"/>
        <v>#N/A</v>
      </c>
    </row>
    <row r="1538" spans="45:45" ht="61.5" x14ac:dyDescent="0.9">
      <c r="AS1538" s="64" t="e">
        <f t="shared" si="178"/>
        <v>#N/A</v>
      </c>
    </row>
    <row r="1539" spans="45:45" ht="61.5" x14ac:dyDescent="0.9">
      <c r="AS1539" s="64" t="e">
        <f t="shared" si="178"/>
        <v>#N/A</v>
      </c>
    </row>
    <row r="1540" spans="45:45" ht="61.5" x14ac:dyDescent="0.9">
      <c r="AS1540" s="64" t="e">
        <f t="shared" si="178"/>
        <v>#N/A</v>
      </c>
    </row>
    <row r="1541" spans="45:45" ht="61.5" x14ac:dyDescent="0.9">
      <c r="AS1541" s="64" t="e">
        <f t="shared" si="178"/>
        <v>#N/A</v>
      </c>
    </row>
    <row r="1542" spans="45:45" ht="61.5" x14ac:dyDescent="0.9">
      <c r="AS1542" s="64" t="e">
        <f t="shared" si="178"/>
        <v>#N/A</v>
      </c>
    </row>
    <row r="1543" spans="45:45" ht="61.5" x14ac:dyDescent="0.9">
      <c r="AS1543" s="64" t="e">
        <f t="shared" si="178"/>
        <v>#N/A</v>
      </c>
    </row>
    <row r="1544" spans="45:45" ht="61.5" x14ac:dyDescent="0.9">
      <c r="AS1544" s="64" t="e">
        <f t="shared" si="178"/>
        <v>#N/A</v>
      </c>
    </row>
    <row r="1545" spans="45:45" ht="61.5" x14ac:dyDescent="0.9">
      <c r="AS1545" s="64" t="e">
        <f t="shared" si="178"/>
        <v>#N/A</v>
      </c>
    </row>
    <row r="1546" spans="45:45" ht="61.5" x14ac:dyDescent="0.9">
      <c r="AS1546" s="64" t="e">
        <f t="shared" si="178"/>
        <v>#N/A</v>
      </c>
    </row>
    <row r="1547" spans="45:45" ht="61.5" x14ac:dyDescent="0.9">
      <c r="AS1547" s="64" t="e">
        <f t="shared" si="178"/>
        <v>#N/A</v>
      </c>
    </row>
    <row r="1548" spans="45:45" ht="61.5" x14ac:dyDescent="0.9">
      <c r="AS1548" s="64" t="e">
        <f t="shared" si="178"/>
        <v>#N/A</v>
      </c>
    </row>
    <row r="1549" spans="45:45" ht="61.5" x14ac:dyDescent="0.9">
      <c r="AS1549" s="64" t="e">
        <f t="shared" si="178"/>
        <v>#N/A</v>
      </c>
    </row>
    <row r="1550" spans="45:45" ht="61.5" x14ac:dyDescent="0.9">
      <c r="AS1550" s="64" t="e">
        <f t="shared" si="178"/>
        <v>#N/A</v>
      </c>
    </row>
    <row r="1551" spans="45:45" ht="61.5" x14ac:dyDescent="0.9">
      <c r="AS1551" s="64" t="e">
        <f t="shared" si="178"/>
        <v>#N/A</v>
      </c>
    </row>
    <row r="1552" spans="45:45" ht="61.5" x14ac:dyDescent="0.9">
      <c r="AS1552" s="64" t="e">
        <f t="shared" si="178"/>
        <v>#N/A</v>
      </c>
    </row>
    <row r="1553" spans="45:45" ht="61.5" x14ac:dyDescent="0.9">
      <c r="AS1553" s="64" t="e">
        <f t="shared" ref="AS1553:AS1616" si="179">VLOOKUP(C1553,AU:AV,2,FALSE)</f>
        <v>#N/A</v>
      </c>
    </row>
    <row r="1554" spans="45:45" ht="61.5" x14ac:dyDescent="0.9">
      <c r="AS1554" s="64" t="e">
        <f t="shared" si="179"/>
        <v>#N/A</v>
      </c>
    </row>
    <row r="1555" spans="45:45" ht="61.5" x14ac:dyDescent="0.9">
      <c r="AS1555" s="64" t="e">
        <f t="shared" si="179"/>
        <v>#N/A</v>
      </c>
    </row>
    <row r="1556" spans="45:45" ht="61.5" x14ac:dyDescent="0.9">
      <c r="AS1556" s="64" t="e">
        <f t="shared" si="179"/>
        <v>#N/A</v>
      </c>
    </row>
    <row r="1557" spans="45:45" ht="61.5" x14ac:dyDescent="0.9">
      <c r="AS1557" s="64" t="e">
        <f t="shared" si="179"/>
        <v>#N/A</v>
      </c>
    </row>
    <row r="1558" spans="45:45" ht="61.5" x14ac:dyDescent="0.9">
      <c r="AS1558" s="64" t="e">
        <f t="shared" si="179"/>
        <v>#N/A</v>
      </c>
    </row>
    <row r="1559" spans="45:45" ht="61.5" x14ac:dyDescent="0.9">
      <c r="AS1559" s="64" t="e">
        <f t="shared" si="179"/>
        <v>#N/A</v>
      </c>
    </row>
    <row r="1560" spans="45:45" ht="61.5" x14ac:dyDescent="0.9">
      <c r="AS1560" s="64" t="e">
        <f t="shared" si="179"/>
        <v>#N/A</v>
      </c>
    </row>
    <row r="1561" spans="45:45" ht="61.5" x14ac:dyDescent="0.9">
      <c r="AS1561" s="64" t="e">
        <f t="shared" si="179"/>
        <v>#N/A</v>
      </c>
    </row>
    <row r="1562" spans="45:45" ht="61.5" x14ac:dyDescent="0.9">
      <c r="AS1562" s="64" t="e">
        <f t="shared" si="179"/>
        <v>#N/A</v>
      </c>
    </row>
    <row r="1563" spans="45:45" ht="61.5" x14ac:dyDescent="0.9">
      <c r="AS1563" s="64" t="e">
        <f t="shared" si="179"/>
        <v>#N/A</v>
      </c>
    </row>
    <row r="1564" spans="45:45" ht="61.5" x14ac:dyDescent="0.9">
      <c r="AS1564" s="64" t="e">
        <f t="shared" si="179"/>
        <v>#N/A</v>
      </c>
    </row>
    <row r="1565" spans="45:45" ht="61.5" x14ac:dyDescent="0.9">
      <c r="AS1565" s="64" t="e">
        <f t="shared" si="179"/>
        <v>#N/A</v>
      </c>
    </row>
    <row r="1566" spans="45:45" ht="61.5" x14ac:dyDescent="0.9">
      <c r="AS1566" s="64" t="e">
        <f t="shared" si="179"/>
        <v>#N/A</v>
      </c>
    </row>
    <row r="1567" spans="45:45" ht="61.5" x14ac:dyDescent="0.9">
      <c r="AS1567" s="64" t="e">
        <f t="shared" si="179"/>
        <v>#N/A</v>
      </c>
    </row>
    <row r="1568" spans="45:45" ht="61.5" x14ac:dyDescent="0.9">
      <c r="AS1568" s="64" t="e">
        <f t="shared" si="179"/>
        <v>#N/A</v>
      </c>
    </row>
    <row r="1569" spans="45:45" ht="61.5" x14ac:dyDescent="0.9">
      <c r="AS1569" s="64" t="e">
        <f t="shared" si="179"/>
        <v>#N/A</v>
      </c>
    </row>
    <row r="1570" spans="45:45" ht="61.5" x14ac:dyDescent="0.9">
      <c r="AS1570" s="64" t="e">
        <f t="shared" si="179"/>
        <v>#N/A</v>
      </c>
    </row>
    <row r="1571" spans="45:45" ht="61.5" x14ac:dyDescent="0.9">
      <c r="AS1571" s="64" t="e">
        <f t="shared" si="179"/>
        <v>#N/A</v>
      </c>
    </row>
    <row r="1572" spans="45:45" ht="61.5" x14ac:dyDescent="0.9">
      <c r="AS1572" s="64" t="e">
        <f t="shared" si="179"/>
        <v>#N/A</v>
      </c>
    </row>
    <row r="1573" spans="45:45" ht="61.5" x14ac:dyDescent="0.9">
      <c r="AS1573" s="64" t="e">
        <f t="shared" si="179"/>
        <v>#N/A</v>
      </c>
    </row>
    <row r="1574" spans="45:45" ht="61.5" x14ac:dyDescent="0.9">
      <c r="AS1574" s="64" t="e">
        <f t="shared" si="179"/>
        <v>#N/A</v>
      </c>
    </row>
    <row r="1575" spans="45:45" ht="61.5" x14ac:dyDescent="0.9">
      <c r="AS1575" s="64" t="e">
        <f t="shared" si="179"/>
        <v>#N/A</v>
      </c>
    </row>
    <row r="1576" spans="45:45" ht="61.5" x14ac:dyDescent="0.9">
      <c r="AS1576" s="64" t="e">
        <f t="shared" si="179"/>
        <v>#N/A</v>
      </c>
    </row>
    <row r="1577" spans="45:45" ht="61.5" x14ac:dyDescent="0.9">
      <c r="AS1577" s="64" t="e">
        <f t="shared" si="179"/>
        <v>#N/A</v>
      </c>
    </row>
    <row r="1578" spans="45:45" ht="61.5" x14ac:dyDescent="0.9">
      <c r="AS1578" s="64" t="e">
        <f t="shared" si="179"/>
        <v>#N/A</v>
      </c>
    </row>
    <row r="1579" spans="45:45" ht="61.5" x14ac:dyDescent="0.9">
      <c r="AS1579" s="64" t="e">
        <f t="shared" si="179"/>
        <v>#N/A</v>
      </c>
    </row>
    <row r="1580" spans="45:45" ht="61.5" x14ac:dyDescent="0.9">
      <c r="AS1580" s="64" t="e">
        <f t="shared" si="179"/>
        <v>#N/A</v>
      </c>
    </row>
    <row r="1581" spans="45:45" ht="61.5" x14ac:dyDescent="0.9">
      <c r="AS1581" s="64" t="e">
        <f t="shared" si="179"/>
        <v>#N/A</v>
      </c>
    </row>
    <row r="1582" spans="45:45" ht="61.5" x14ac:dyDescent="0.9">
      <c r="AS1582" s="64" t="e">
        <f t="shared" si="179"/>
        <v>#N/A</v>
      </c>
    </row>
    <row r="1583" spans="45:45" ht="61.5" x14ac:dyDescent="0.9">
      <c r="AS1583" s="64" t="e">
        <f t="shared" si="179"/>
        <v>#N/A</v>
      </c>
    </row>
    <row r="1584" spans="45:45" ht="61.5" x14ac:dyDescent="0.9">
      <c r="AS1584" s="64" t="e">
        <f t="shared" si="179"/>
        <v>#N/A</v>
      </c>
    </row>
    <row r="1585" spans="45:45" ht="61.5" x14ac:dyDescent="0.9">
      <c r="AS1585" s="64" t="e">
        <f t="shared" si="179"/>
        <v>#N/A</v>
      </c>
    </row>
    <row r="1586" spans="45:45" ht="61.5" x14ac:dyDescent="0.9">
      <c r="AS1586" s="64" t="e">
        <f t="shared" si="179"/>
        <v>#N/A</v>
      </c>
    </row>
    <row r="1587" spans="45:45" ht="61.5" x14ac:dyDescent="0.9">
      <c r="AS1587" s="64" t="e">
        <f t="shared" si="179"/>
        <v>#N/A</v>
      </c>
    </row>
    <row r="1588" spans="45:45" ht="61.5" x14ac:dyDescent="0.9">
      <c r="AS1588" s="64" t="e">
        <f t="shared" si="179"/>
        <v>#N/A</v>
      </c>
    </row>
    <row r="1589" spans="45:45" ht="61.5" x14ac:dyDescent="0.9">
      <c r="AS1589" s="64" t="e">
        <f t="shared" si="179"/>
        <v>#N/A</v>
      </c>
    </row>
    <row r="1590" spans="45:45" ht="61.5" x14ac:dyDescent="0.9">
      <c r="AS1590" s="64" t="e">
        <f t="shared" si="179"/>
        <v>#N/A</v>
      </c>
    </row>
    <row r="1591" spans="45:45" ht="61.5" x14ac:dyDescent="0.9">
      <c r="AS1591" s="64" t="e">
        <f t="shared" si="179"/>
        <v>#N/A</v>
      </c>
    </row>
    <row r="1592" spans="45:45" ht="61.5" x14ac:dyDescent="0.9">
      <c r="AS1592" s="64" t="e">
        <f t="shared" si="179"/>
        <v>#N/A</v>
      </c>
    </row>
    <row r="1593" spans="45:45" ht="61.5" x14ac:dyDescent="0.9">
      <c r="AS1593" s="64" t="e">
        <f t="shared" si="179"/>
        <v>#N/A</v>
      </c>
    </row>
    <row r="1594" spans="45:45" ht="61.5" x14ac:dyDescent="0.9">
      <c r="AS1594" s="64" t="e">
        <f t="shared" si="179"/>
        <v>#N/A</v>
      </c>
    </row>
    <row r="1595" spans="45:45" ht="61.5" x14ac:dyDescent="0.9">
      <c r="AS1595" s="64" t="e">
        <f t="shared" si="179"/>
        <v>#N/A</v>
      </c>
    </row>
    <row r="1596" spans="45:45" ht="61.5" x14ac:dyDescent="0.9">
      <c r="AS1596" s="64" t="e">
        <f t="shared" si="179"/>
        <v>#N/A</v>
      </c>
    </row>
    <row r="1597" spans="45:45" ht="61.5" x14ac:dyDescent="0.9">
      <c r="AS1597" s="64" t="e">
        <f t="shared" si="179"/>
        <v>#N/A</v>
      </c>
    </row>
    <row r="1598" spans="45:45" ht="61.5" x14ac:dyDescent="0.9">
      <c r="AS1598" s="64" t="e">
        <f t="shared" si="179"/>
        <v>#N/A</v>
      </c>
    </row>
    <row r="1599" spans="45:45" ht="61.5" x14ac:dyDescent="0.9">
      <c r="AS1599" s="64" t="e">
        <f t="shared" si="179"/>
        <v>#N/A</v>
      </c>
    </row>
    <row r="1600" spans="45:45" ht="61.5" x14ac:dyDescent="0.9">
      <c r="AS1600" s="64" t="e">
        <f t="shared" si="179"/>
        <v>#N/A</v>
      </c>
    </row>
    <row r="1601" spans="45:45" ht="61.5" x14ac:dyDescent="0.9">
      <c r="AS1601" s="64" t="e">
        <f t="shared" si="179"/>
        <v>#N/A</v>
      </c>
    </row>
    <row r="1602" spans="45:45" ht="61.5" x14ac:dyDescent="0.9">
      <c r="AS1602" s="64" t="e">
        <f t="shared" si="179"/>
        <v>#N/A</v>
      </c>
    </row>
    <row r="1603" spans="45:45" ht="61.5" x14ac:dyDescent="0.9">
      <c r="AS1603" s="64" t="e">
        <f t="shared" si="179"/>
        <v>#N/A</v>
      </c>
    </row>
    <row r="1604" spans="45:45" ht="61.5" x14ac:dyDescent="0.9">
      <c r="AS1604" s="64" t="e">
        <f t="shared" si="179"/>
        <v>#N/A</v>
      </c>
    </row>
    <row r="1605" spans="45:45" ht="61.5" x14ac:dyDescent="0.9">
      <c r="AS1605" s="64" t="e">
        <f t="shared" si="179"/>
        <v>#N/A</v>
      </c>
    </row>
    <row r="1606" spans="45:45" ht="61.5" x14ac:dyDescent="0.9">
      <c r="AS1606" s="64" t="e">
        <f t="shared" si="179"/>
        <v>#N/A</v>
      </c>
    </row>
    <row r="1607" spans="45:45" ht="61.5" x14ac:dyDescent="0.9">
      <c r="AS1607" s="64" t="e">
        <f t="shared" si="179"/>
        <v>#N/A</v>
      </c>
    </row>
    <row r="1608" spans="45:45" ht="61.5" x14ac:dyDescent="0.9">
      <c r="AS1608" s="64" t="e">
        <f t="shared" si="179"/>
        <v>#N/A</v>
      </c>
    </row>
    <row r="1609" spans="45:45" ht="61.5" x14ac:dyDescent="0.9">
      <c r="AS1609" s="64" t="e">
        <f t="shared" si="179"/>
        <v>#N/A</v>
      </c>
    </row>
    <row r="1610" spans="45:45" ht="61.5" x14ac:dyDescent="0.9">
      <c r="AS1610" s="64" t="e">
        <f t="shared" si="179"/>
        <v>#N/A</v>
      </c>
    </row>
    <row r="1611" spans="45:45" ht="61.5" x14ac:dyDescent="0.9">
      <c r="AS1611" s="64" t="e">
        <f t="shared" si="179"/>
        <v>#N/A</v>
      </c>
    </row>
    <row r="1612" spans="45:45" ht="61.5" x14ac:dyDescent="0.9">
      <c r="AS1612" s="64" t="e">
        <f t="shared" si="179"/>
        <v>#N/A</v>
      </c>
    </row>
    <row r="1613" spans="45:45" ht="61.5" x14ac:dyDescent="0.9">
      <c r="AS1613" s="64" t="e">
        <f t="shared" si="179"/>
        <v>#N/A</v>
      </c>
    </row>
    <row r="1614" spans="45:45" ht="61.5" x14ac:dyDescent="0.9">
      <c r="AS1614" s="64" t="e">
        <f t="shared" si="179"/>
        <v>#N/A</v>
      </c>
    </row>
    <row r="1615" spans="45:45" ht="61.5" x14ac:dyDescent="0.9">
      <c r="AS1615" s="64" t="e">
        <f t="shared" si="179"/>
        <v>#N/A</v>
      </c>
    </row>
    <row r="1616" spans="45:45" ht="61.5" x14ac:dyDescent="0.9">
      <c r="AS1616" s="64" t="e">
        <f t="shared" si="179"/>
        <v>#N/A</v>
      </c>
    </row>
    <row r="1617" spans="45:45" ht="61.5" x14ac:dyDescent="0.9">
      <c r="AS1617" s="64" t="e">
        <f t="shared" ref="AS1617:AS1639" si="180">VLOOKUP(C1617,AU:AV,2,FALSE)</f>
        <v>#N/A</v>
      </c>
    </row>
    <row r="1618" spans="45:45" ht="61.5" x14ac:dyDescent="0.9">
      <c r="AS1618" s="64" t="e">
        <f t="shared" si="180"/>
        <v>#N/A</v>
      </c>
    </row>
    <row r="1619" spans="45:45" ht="61.5" x14ac:dyDescent="0.9">
      <c r="AS1619" s="64" t="e">
        <f t="shared" si="180"/>
        <v>#N/A</v>
      </c>
    </row>
    <row r="1620" spans="45:45" ht="61.5" x14ac:dyDescent="0.9">
      <c r="AS1620" s="64" t="e">
        <f t="shared" si="180"/>
        <v>#N/A</v>
      </c>
    </row>
    <row r="1621" spans="45:45" ht="61.5" x14ac:dyDescent="0.9">
      <c r="AS1621" s="64" t="e">
        <f t="shared" si="180"/>
        <v>#N/A</v>
      </c>
    </row>
    <row r="1622" spans="45:45" ht="61.5" x14ac:dyDescent="0.9">
      <c r="AS1622" s="64" t="e">
        <f t="shared" si="180"/>
        <v>#N/A</v>
      </c>
    </row>
    <row r="1623" spans="45:45" ht="61.5" x14ac:dyDescent="0.9">
      <c r="AS1623" s="64" t="e">
        <f t="shared" si="180"/>
        <v>#N/A</v>
      </c>
    </row>
    <row r="1624" spans="45:45" ht="61.5" x14ac:dyDescent="0.9">
      <c r="AS1624" s="64" t="e">
        <f t="shared" si="180"/>
        <v>#N/A</v>
      </c>
    </row>
    <row r="1625" spans="45:45" ht="61.5" x14ac:dyDescent="0.9">
      <c r="AS1625" s="64" t="e">
        <f t="shared" si="180"/>
        <v>#N/A</v>
      </c>
    </row>
    <row r="1626" spans="45:45" ht="61.5" x14ac:dyDescent="0.9">
      <c r="AS1626" s="64" t="e">
        <f t="shared" si="180"/>
        <v>#N/A</v>
      </c>
    </row>
    <row r="1627" spans="45:45" ht="61.5" x14ac:dyDescent="0.9">
      <c r="AS1627" s="64" t="e">
        <f t="shared" si="180"/>
        <v>#N/A</v>
      </c>
    </row>
    <row r="1628" spans="45:45" ht="61.5" x14ac:dyDescent="0.9">
      <c r="AS1628" s="64" t="e">
        <f t="shared" si="180"/>
        <v>#N/A</v>
      </c>
    </row>
    <row r="1629" spans="45:45" ht="61.5" x14ac:dyDescent="0.9">
      <c r="AS1629" s="64" t="e">
        <f t="shared" si="180"/>
        <v>#N/A</v>
      </c>
    </row>
    <row r="1630" spans="45:45" ht="61.5" x14ac:dyDescent="0.9">
      <c r="AS1630" s="64" t="e">
        <f t="shared" si="180"/>
        <v>#N/A</v>
      </c>
    </row>
    <row r="1631" spans="45:45" ht="61.5" x14ac:dyDescent="0.9">
      <c r="AS1631" s="64" t="e">
        <f t="shared" si="180"/>
        <v>#N/A</v>
      </c>
    </row>
    <row r="1632" spans="45:45" ht="61.5" x14ac:dyDescent="0.9">
      <c r="AS1632" s="64" t="e">
        <f t="shared" si="180"/>
        <v>#N/A</v>
      </c>
    </row>
    <row r="1633" spans="45:45" ht="61.5" x14ac:dyDescent="0.9">
      <c r="AS1633" s="64" t="e">
        <f t="shared" si="180"/>
        <v>#N/A</v>
      </c>
    </row>
    <row r="1634" spans="45:45" ht="61.5" x14ac:dyDescent="0.9">
      <c r="AS1634" s="64" t="e">
        <f t="shared" si="180"/>
        <v>#N/A</v>
      </c>
    </row>
    <row r="1635" spans="45:45" ht="61.5" x14ac:dyDescent="0.9">
      <c r="AS1635" s="64" t="e">
        <f t="shared" si="180"/>
        <v>#N/A</v>
      </c>
    </row>
    <row r="1636" spans="45:45" ht="61.5" x14ac:dyDescent="0.9">
      <c r="AS1636" s="64" t="e">
        <f t="shared" si="180"/>
        <v>#N/A</v>
      </c>
    </row>
    <row r="1637" spans="45:45" ht="61.5" x14ac:dyDescent="0.9">
      <c r="AS1637" s="64" t="e">
        <f t="shared" si="180"/>
        <v>#N/A</v>
      </c>
    </row>
    <row r="1638" spans="45:45" ht="61.5" x14ac:dyDescent="0.9">
      <c r="AS1638" s="64" t="e">
        <f t="shared" si="180"/>
        <v>#N/A</v>
      </c>
    </row>
    <row r="1639" spans="45:45" ht="61.5" x14ac:dyDescent="0.9">
      <c r="AS1639" s="64" t="e">
        <f t="shared" si="180"/>
        <v>#N/A</v>
      </c>
    </row>
  </sheetData>
  <autoFilter ref="A12:GL1211" xr:uid="{7976E99C-2C7D-48D2-9F01-6E108525554A}"/>
  <mergeCells count="26">
    <mergeCell ref="U8:U10"/>
    <mergeCell ref="D9:D11"/>
    <mergeCell ref="E9:E11"/>
    <mergeCell ref="P9:P10"/>
    <mergeCell ref="Q9:Q10"/>
    <mergeCell ref="R9:R10"/>
    <mergeCell ref="M8:M11"/>
    <mergeCell ref="N8:N11"/>
    <mergeCell ref="J9:J10"/>
    <mergeCell ref="K9:K10"/>
    <mergeCell ref="B4:U6"/>
    <mergeCell ref="S1:U1"/>
    <mergeCell ref="O2:U3"/>
    <mergeCell ref="O8:O11"/>
    <mergeCell ref="B8:B11"/>
    <mergeCell ref="C8:C11"/>
    <mergeCell ref="D8:E8"/>
    <mergeCell ref="F8:F11"/>
    <mergeCell ref="G8:G11"/>
    <mergeCell ref="H8:H11"/>
    <mergeCell ref="S9:S10"/>
    <mergeCell ref="P8:S8"/>
    <mergeCell ref="T8:T10"/>
    <mergeCell ref="I8:I10"/>
    <mergeCell ref="J8:K8"/>
    <mergeCell ref="L8:L10"/>
  </mergeCells>
  <pageMargins left="0" right="0" top="0.39370078740157483" bottom="0" header="0" footer="0"/>
  <pageSetup paperSize="9" scale="16" fitToHeight="0" orientation="landscape" r:id="rId1"/>
  <headerFooter differentFirst="1">
    <oddHeader>&amp;C&amp;"Times New Roman,обычный"&amp;20&amp;P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view="pageBreakPreview" zoomScale="60" zoomScaleNormal="60" workbookViewId="0">
      <selection activeCell="C19" sqref="C19"/>
    </sheetView>
  </sheetViews>
  <sheetFormatPr defaultRowHeight="15" x14ac:dyDescent="0.25"/>
  <cols>
    <col min="1" max="1" width="28.7109375" customWidth="1"/>
    <col min="2" max="2" width="43.42578125" customWidth="1"/>
    <col min="3" max="3" width="52.7109375" customWidth="1"/>
    <col min="4" max="4" width="0" hidden="1" customWidth="1"/>
    <col min="5" max="5" width="14" hidden="1" customWidth="1"/>
    <col min="7" max="7" width="12" customWidth="1"/>
    <col min="9" max="9" width="21.7109375" customWidth="1"/>
    <col min="11" max="11" width="20.5703125" customWidth="1"/>
    <col min="12" max="12" width="23.42578125" customWidth="1"/>
  </cols>
  <sheetData>
    <row r="1" spans="1:5" ht="18.75" x14ac:dyDescent="0.3">
      <c r="A1" s="1"/>
      <c r="B1" s="1"/>
      <c r="C1" s="2" t="s">
        <v>755</v>
      </c>
    </row>
    <row r="2" spans="1:5" ht="63.75" customHeight="1" x14ac:dyDescent="0.25">
      <c r="A2" s="215" t="s">
        <v>763</v>
      </c>
      <c r="B2" s="215"/>
      <c r="C2" s="215"/>
    </row>
    <row r="3" spans="1:5" ht="41.45" customHeight="1" x14ac:dyDescent="0.25">
      <c r="A3" s="212" t="s">
        <v>756</v>
      </c>
      <c r="B3" s="213"/>
      <c r="C3" s="214"/>
    </row>
    <row r="4" spans="1:5" ht="18.75" x14ac:dyDescent="0.25">
      <c r="A4" s="212" t="s">
        <v>757</v>
      </c>
      <c r="B4" s="214"/>
      <c r="C4" s="41" t="s">
        <v>764</v>
      </c>
    </row>
    <row r="5" spans="1:5" ht="18.75" x14ac:dyDescent="0.3">
      <c r="A5" s="210" t="s">
        <v>758</v>
      </c>
      <c r="B5" s="211"/>
      <c r="C5" s="42">
        <v>1600719184.4000001</v>
      </c>
    </row>
    <row r="6" spans="1:5" ht="37.5" customHeight="1" x14ac:dyDescent="0.3">
      <c r="A6" s="210" t="s">
        <v>759</v>
      </c>
      <c r="B6" s="211"/>
      <c r="C6" s="42">
        <v>0</v>
      </c>
    </row>
    <row r="7" spans="1:5" ht="18.75" x14ac:dyDescent="0.3">
      <c r="A7" s="210" t="s">
        <v>760</v>
      </c>
      <c r="B7" s="211"/>
      <c r="C7" s="42">
        <v>0</v>
      </c>
    </row>
    <row r="8" spans="1:5" ht="18.75" x14ac:dyDescent="0.3">
      <c r="A8" s="210" t="s">
        <v>761</v>
      </c>
      <c r="B8" s="211"/>
      <c r="C8" s="42">
        <v>4260660.97</v>
      </c>
      <c r="D8">
        <v>4344514.92</v>
      </c>
      <c r="E8" s="161">
        <v>746895.1400000006</v>
      </c>
    </row>
    <row r="9" spans="1:5" ht="18.75" x14ac:dyDescent="0.3">
      <c r="A9" s="210" t="s">
        <v>762</v>
      </c>
      <c r="B9" s="211"/>
      <c r="C9" s="42">
        <f>C5-C6-C7-C8</f>
        <v>1596458523.4300001</v>
      </c>
    </row>
    <row r="10" spans="1:5" ht="43.9" customHeight="1" x14ac:dyDescent="0.25">
      <c r="A10" s="212" t="s">
        <v>756</v>
      </c>
      <c r="B10" s="213"/>
      <c r="C10" s="214"/>
    </row>
    <row r="11" spans="1:5" ht="18.75" x14ac:dyDescent="0.25">
      <c r="A11" s="212" t="s">
        <v>757</v>
      </c>
      <c r="B11" s="214"/>
      <c r="C11" s="41" t="s">
        <v>765</v>
      </c>
    </row>
    <row r="12" spans="1:5" ht="18.75" x14ac:dyDescent="0.3">
      <c r="A12" s="210" t="s">
        <v>758</v>
      </c>
      <c r="B12" s="211"/>
      <c r="C12" s="42">
        <v>888207694.61000001</v>
      </c>
    </row>
    <row r="13" spans="1:5" ht="33.75" customHeight="1" x14ac:dyDescent="0.3">
      <c r="A13" s="210" t="s">
        <v>759</v>
      </c>
      <c r="B13" s="211"/>
      <c r="C13" s="42">
        <v>0</v>
      </c>
    </row>
    <row r="14" spans="1:5" ht="18.75" x14ac:dyDescent="0.3">
      <c r="A14" s="210" t="s">
        <v>760</v>
      </c>
      <c r="B14" s="211"/>
      <c r="C14" s="42">
        <v>0</v>
      </c>
    </row>
    <row r="15" spans="1:5" ht="18.75" x14ac:dyDescent="0.3">
      <c r="A15" s="210" t="s">
        <v>761</v>
      </c>
      <c r="B15" s="211"/>
      <c r="C15" s="42">
        <v>2523423.19</v>
      </c>
    </row>
    <row r="16" spans="1:5" ht="18.75" x14ac:dyDescent="0.3">
      <c r="A16" s="210" t="s">
        <v>762</v>
      </c>
      <c r="B16" s="211"/>
      <c r="C16" s="42">
        <f>C12-C13-C14-C15</f>
        <v>885684271.41999996</v>
      </c>
    </row>
    <row r="17" spans="1:3" ht="39.75" customHeight="1" x14ac:dyDescent="0.25">
      <c r="A17" s="212" t="s">
        <v>756</v>
      </c>
      <c r="B17" s="213"/>
      <c r="C17" s="214"/>
    </row>
    <row r="18" spans="1:3" ht="18.75" x14ac:dyDescent="0.25">
      <c r="A18" s="212" t="s">
        <v>757</v>
      </c>
      <c r="B18" s="214"/>
      <c r="C18" s="41" t="s">
        <v>766</v>
      </c>
    </row>
    <row r="19" spans="1:3" ht="18.75" x14ac:dyDescent="0.3">
      <c r="A19" s="210" t="s">
        <v>758</v>
      </c>
      <c r="B19" s="211"/>
      <c r="C19" s="42">
        <v>791169161.75000012</v>
      </c>
    </row>
    <row r="20" spans="1:3" ht="41.25" customHeight="1" x14ac:dyDescent="0.3">
      <c r="A20" s="210" t="s">
        <v>759</v>
      </c>
      <c r="B20" s="211"/>
      <c r="C20" s="42">
        <v>0</v>
      </c>
    </row>
    <row r="21" spans="1:3" ht="18.75" x14ac:dyDescent="0.3">
      <c r="A21" s="210" t="s">
        <v>760</v>
      </c>
      <c r="B21" s="211"/>
      <c r="C21" s="42">
        <v>0</v>
      </c>
    </row>
    <row r="22" spans="1:3" ht="18.75" x14ac:dyDescent="0.3">
      <c r="A22" s="210" t="s">
        <v>761</v>
      </c>
      <c r="B22" s="211"/>
      <c r="C22" s="42">
        <v>1851570.68</v>
      </c>
    </row>
    <row r="23" spans="1:3" ht="18.75" x14ac:dyDescent="0.3">
      <c r="A23" s="210" t="s">
        <v>762</v>
      </c>
      <c r="B23" s="211"/>
      <c r="C23" s="42">
        <f>C19-C20-C21-C22</f>
        <v>789317591.07000017</v>
      </c>
    </row>
    <row r="24" spans="1:3" ht="81.75" customHeight="1" x14ac:dyDescent="0.25">
      <c r="A24" s="212" t="s">
        <v>1659</v>
      </c>
      <c r="B24" s="213"/>
      <c r="C24" s="214"/>
    </row>
    <row r="25" spans="1:3" ht="18.75" x14ac:dyDescent="0.25">
      <c r="A25" s="212" t="s">
        <v>757</v>
      </c>
      <c r="B25" s="214"/>
      <c r="C25" s="41" t="s">
        <v>764</v>
      </c>
    </row>
    <row r="26" spans="1:3" ht="18.75" x14ac:dyDescent="0.3">
      <c r="A26" s="210" t="s">
        <v>760</v>
      </c>
      <c r="B26" s="211"/>
      <c r="C26" s="42">
        <v>28865700</v>
      </c>
    </row>
    <row r="27" spans="1:3" ht="82.5" customHeight="1" x14ac:dyDescent="0.25">
      <c r="A27" s="212" t="s">
        <v>1659</v>
      </c>
      <c r="B27" s="213"/>
      <c r="C27" s="214"/>
    </row>
    <row r="28" spans="1:3" ht="18.75" x14ac:dyDescent="0.25">
      <c r="A28" s="212" t="s">
        <v>757</v>
      </c>
      <c r="B28" s="214"/>
      <c r="C28" s="41" t="s">
        <v>765</v>
      </c>
    </row>
    <row r="29" spans="1:3" ht="18.75" x14ac:dyDescent="0.3">
      <c r="A29" s="210" t="s">
        <v>760</v>
      </c>
      <c r="B29" s="211"/>
      <c r="C29" s="42">
        <v>28826300</v>
      </c>
    </row>
    <row r="30" spans="1:3" ht="81" customHeight="1" x14ac:dyDescent="0.25">
      <c r="A30" s="212" t="s">
        <v>1659</v>
      </c>
      <c r="B30" s="213"/>
      <c r="C30" s="214"/>
    </row>
    <row r="31" spans="1:3" ht="18.75" x14ac:dyDescent="0.25">
      <c r="A31" s="212" t="s">
        <v>757</v>
      </c>
      <c r="B31" s="214"/>
      <c r="C31" s="41" t="s">
        <v>766</v>
      </c>
    </row>
    <row r="32" spans="1:3" ht="18.75" x14ac:dyDescent="0.3">
      <c r="A32" s="210" t="s">
        <v>760</v>
      </c>
      <c r="B32" s="211"/>
      <c r="C32" s="42">
        <v>28058900</v>
      </c>
    </row>
  </sheetData>
  <mergeCells count="31">
    <mergeCell ref="A30:C30"/>
    <mergeCell ref="A31:B31"/>
    <mergeCell ref="A32:B32"/>
    <mergeCell ref="A29:B29"/>
    <mergeCell ref="A24:C24"/>
    <mergeCell ref="A25:B25"/>
    <mergeCell ref="A26:B26"/>
    <mergeCell ref="A27:C27"/>
    <mergeCell ref="A28:B28"/>
    <mergeCell ref="A7:B7"/>
    <mergeCell ref="A2:C2"/>
    <mergeCell ref="A3:C3"/>
    <mergeCell ref="A4:B4"/>
    <mergeCell ref="A5:B5"/>
    <mergeCell ref="A6:B6"/>
    <mergeCell ref="A8:B8"/>
    <mergeCell ref="A9:B9"/>
    <mergeCell ref="A10:C10"/>
    <mergeCell ref="A11:B11"/>
    <mergeCell ref="A12:B12"/>
    <mergeCell ref="A23:B23"/>
    <mergeCell ref="A13:B13"/>
    <mergeCell ref="A14:B14"/>
    <mergeCell ref="A15:B15"/>
    <mergeCell ref="A16:B16"/>
    <mergeCell ref="A17:C17"/>
    <mergeCell ref="A18:B18"/>
    <mergeCell ref="A19:B19"/>
    <mergeCell ref="A20:B20"/>
    <mergeCell ref="A21:B21"/>
    <mergeCell ref="A22:B22"/>
  </mergeCells>
  <pageMargins left="0.25" right="0.25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4"/>
  <sheetViews>
    <sheetView topLeftCell="A4" zoomScale="70" zoomScaleNormal="70" workbookViewId="0">
      <selection activeCell="D17" sqref="D17"/>
    </sheetView>
  </sheetViews>
  <sheetFormatPr defaultRowHeight="15" x14ac:dyDescent="0.25"/>
  <cols>
    <col min="1" max="1" width="9" style="6" customWidth="1"/>
    <col min="2" max="2" width="81" style="6" customWidth="1"/>
    <col min="3" max="3" width="23.85546875" style="6" customWidth="1"/>
    <col min="4" max="4" width="32.28515625" style="6" customWidth="1"/>
    <col min="5" max="5" width="22.140625" style="6" customWidth="1"/>
    <col min="6" max="6" width="28.85546875" style="6" customWidth="1"/>
    <col min="7" max="7" width="9.140625" style="6"/>
    <col min="8" max="8" width="0" style="6" hidden="1" customWidth="1"/>
    <col min="9" max="9" width="16.28515625" style="6" hidden="1" customWidth="1"/>
    <col min="10" max="10" width="0" style="6" hidden="1" customWidth="1"/>
    <col min="11" max="11" width="17" style="6" customWidth="1"/>
    <col min="12" max="16384" width="9.140625" style="6"/>
  </cols>
  <sheetData>
    <row r="1" spans="1:11" ht="20.25" x14ac:dyDescent="0.25">
      <c r="A1" s="5"/>
      <c r="B1" s="5"/>
      <c r="C1" s="5"/>
      <c r="D1" s="5"/>
      <c r="E1" s="216" t="s">
        <v>767</v>
      </c>
      <c r="F1" s="216"/>
    </row>
    <row r="2" spans="1:11" ht="95.25" customHeight="1" x14ac:dyDescent="0.25">
      <c r="B2" s="7"/>
      <c r="C2" s="7"/>
      <c r="D2" s="217" t="s">
        <v>774</v>
      </c>
      <c r="E2" s="217"/>
      <c r="F2" s="217"/>
    </row>
    <row r="3" spans="1:11" x14ac:dyDescent="0.25">
      <c r="A3" s="218" t="s">
        <v>775</v>
      </c>
      <c r="B3" s="218"/>
      <c r="C3" s="218"/>
      <c r="D3" s="218"/>
      <c r="E3" s="218"/>
      <c r="F3" s="218"/>
    </row>
    <row r="4" spans="1:11" ht="93" customHeight="1" x14ac:dyDescent="0.25">
      <c r="A4" s="218"/>
      <c r="B4" s="218"/>
      <c r="C4" s="218"/>
      <c r="D4" s="218"/>
      <c r="E4" s="218"/>
      <c r="F4" s="218"/>
    </row>
    <row r="5" spans="1:11" x14ac:dyDescent="0.25">
      <c r="A5" s="219" t="s">
        <v>6</v>
      </c>
      <c r="B5" s="222" t="s">
        <v>768</v>
      </c>
      <c r="C5" s="219" t="s">
        <v>769</v>
      </c>
      <c r="D5" s="219" t="s">
        <v>770</v>
      </c>
      <c r="E5" s="219" t="s">
        <v>771</v>
      </c>
      <c r="F5" s="219" t="s">
        <v>772</v>
      </c>
    </row>
    <row r="6" spans="1:11" x14ac:dyDescent="0.25">
      <c r="A6" s="220"/>
      <c r="B6" s="223"/>
      <c r="C6" s="225"/>
      <c r="D6" s="225"/>
      <c r="E6" s="225"/>
      <c r="F6" s="225"/>
    </row>
    <row r="7" spans="1:11" ht="101.25" customHeight="1" x14ac:dyDescent="0.25">
      <c r="A7" s="220"/>
      <c r="B7" s="223"/>
      <c r="C7" s="226"/>
      <c r="D7" s="226"/>
      <c r="E7" s="226"/>
      <c r="F7" s="226"/>
    </row>
    <row r="8" spans="1:11" ht="20.25" x14ac:dyDescent="0.3">
      <c r="A8" s="221"/>
      <c r="B8" s="224"/>
      <c r="C8" s="8" t="s">
        <v>773</v>
      </c>
      <c r="D8" s="8" t="s">
        <v>269</v>
      </c>
      <c r="E8" s="9" t="s">
        <v>37</v>
      </c>
      <c r="F8" s="9" t="s">
        <v>36</v>
      </c>
    </row>
    <row r="9" spans="1:11" ht="20.25" x14ac:dyDescent="0.3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</row>
    <row r="10" spans="1:11" ht="20.25" x14ac:dyDescent="0.3">
      <c r="A10" s="3" t="s">
        <v>777</v>
      </c>
      <c r="B10" s="11"/>
      <c r="C10" s="77">
        <f>C11+C79+C136</f>
        <v>2602932.8600000003</v>
      </c>
      <c r="D10" s="78">
        <f>D11+D79+D136</f>
        <v>98381</v>
      </c>
      <c r="E10" s="78">
        <f>E11+E79+E136</f>
        <v>1015</v>
      </c>
      <c r="F10" s="77">
        <f>F11+F79+F136</f>
        <v>3280096040.7599998</v>
      </c>
      <c r="K10" s="184"/>
    </row>
    <row r="11" spans="1:11" ht="20.25" x14ac:dyDescent="0.3">
      <c r="A11" s="3" t="s">
        <v>778</v>
      </c>
      <c r="B11" s="11"/>
      <c r="C11" s="77">
        <f>SUM(C12:C78)</f>
        <v>1245854.9400000002</v>
      </c>
      <c r="D11" s="78">
        <f>SUM(D12:D78)</f>
        <v>46147</v>
      </c>
      <c r="E11" s="78">
        <f>SUM(E12:E78)</f>
        <v>464</v>
      </c>
      <c r="F11" s="77">
        <f>SUM(F12:F78)</f>
        <v>1600719184.3999999</v>
      </c>
      <c r="K11" s="184"/>
    </row>
    <row r="12" spans="1:11" ht="20.25" x14ac:dyDescent="0.3">
      <c r="A12" s="4">
        <v>1</v>
      </c>
      <c r="B12" s="3" t="s">
        <v>1013</v>
      </c>
      <c r="C12" s="77">
        <v>311542.84999999998</v>
      </c>
      <c r="D12" s="78">
        <v>11864</v>
      </c>
      <c r="E12" s="79">
        <v>100</v>
      </c>
      <c r="F12" s="108">
        <v>330739075.22000003</v>
      </c>
    </row>
    <row r="13" spans="1:11" ht="20.25" x14ac:dyDescent="0.3">
      <c r="A13" s="4">
        <v>2</v>
      </c>
      <c r="B13" s="3" t="s">
        <v>918</v>
      </c>
      <c r="C13" s="77">
        <v>57208.5</v>
      </c>
      <c r="D13" s="78">
        <v>2332</v>
      </c>
      <c r="E13" s="79">
        <v>32</v>
      </c>
      <c r="F13" s="108">
        <v>90231479.819999963</v>
      </c>
    </row>
    <row r="14" spans="1:11" ht="20.25" x14ac:dyDescent="0.3">
      <c r="A14" s="4">
        <v>3</v>
      </c>
      <c r="B14" s="3" t="s">
        <v>919</v>
      </c>
      <c r="C14" s="108">
        <v>115020.95999999998</v>
      </c>
      <c r="D14" s="79">
        <v>4374</v>
      </c>
      <c r="E14" s="79">
        <v>40</v>
      </c>
      <c r="F14" s="108">
        <v>145566464.63000003</v>
      </c>
    </row>
    <row r="15" spans="1:11" ht="20.25" x14ac:dyDescent="0.3">
      <c r="A15" s="4">
        <v>4</v>
      </c>
      <c r="B15" s="3" t="s">
        <v>975</v>
      </c>
      <c r="C15" s="108">
        <v>202837.27</v>
      </c>
      <c r="D15" s="79">
        <v>6655</v>
      </c>
      <c r="E15" s="79">
        <v>33</v>
      </c>
      <c r="F15" s="108">
        <v>182923711.81999999</v>
      </c>
    </row>
    <row r="16" spans="1:11" ht="20.25" x14ac:dyDescent="0.3">
      <c r="A16" s="4">
        <v>5</v>
      </c>
      <c r="B16" s="3" t="s">
        <v>921</v>
      </c>
      <c r="C16" s="77">
        <v>42084.039999999994</v>
      </c>
      <c r="D16" s="78">
        <v>1883</v>
      </c>
      <c r="E16" s="79">
        <v>6</v>
      </c>
      <c r="F16" s="108">
        <v>51784138.459999993</v>
      </c>
    </row>
    <row r="17" spans="1:6" ht="20.25" x14ac:dyDescent="0.3">
      <c r="A17" s="4">
        <v>6</v>
      </c>
      <c r="B17" s="3" t="s">
        <v>922</v>
      </c>
      <c r="C17" s="108">
        <v>88594.11</v>
      </c>
      <c r="D17" s="79">
        <v>3358</v>
      </c>
      <c r="E17" s="79">
        <v>27</v>
      </c>
      <c r="F17" s="108">
        <v>103026578.48000003</v>
      </c>
    </row>
    <row r="18" spans="1:6" ht="20.25" x14ac:dyDescent="0.3">
      <c r="A18" s="4">
        <v>7</v>
      </c>
      <c r="B18" s="3" t="s">
        <v>923</v>
      </c>
      <c r="C18" s="108">
        <v>42597.2</v>
      </c>
      <c r="D18" s="79">
        <v>1169</v>
      </c>
      <c r="E18" s="79">
        <v>7</v>
      </c>
      <c r="F18" s="108">
        <v>31393292.599999998</v>
      </c>
    </row>
    <row r="19" spans="1:6" ht="20.25" x14ac:dyDescent="0.3">
      <c r="A19" s="4">
        <v>8</v>
      </c>
      <c r="B19" s="3" t="s">
        <v>924</v>
      </c>
      <c r="C19" s="108">
        <v>10556.800000000001</v>
      </c>
      <c r="D19" s="79">
        <v>411</v>
      </c>
      <c r="E19" s="79">
        <v>6</v>
      </c>
      <c r="F19" s="108">
        <v>35599350.520000003</v>
      </c>
    </row>
    <row r="20" spans="1:6" ht="20.25" x14ac:dyDescent="0.3">
      <c r="A20" s="4">
        <v>9</v>
      </c>
      <c r="B20" s="3" t="s">
        <v>925</v>
      </c>
      <c r="C20" s="108">
        <v>15661.67</v>
      </c>
      <c r="D20" s="79">
        <v>532</v>
      </c>
      <c r="E20" s="79">
        <v>4</v>
      </c>
      <c r="F20" s="108">
        <v>17002898.350000001</v>
      </c>
    </row>
    <row r="21" spans="1:6" ht="20.25" x14ac:dyDescent="0.3">
      <c r="A21" s="4">
        <v>10</v>
      </c>
      <c r="B21" s="3" t="s">
        <v>1395</v>
      </c>
      <c r="C21" s="108">
        <v>762</v>
      </c>
      <c r="D21" s="79">
        <v>12</v>
      </c>
      <c r="E21" s="79">
        <v>1</v>
      </c>
      <c r="F21" s="108">
        <v>509455.14</v>
      </c>
    </row>
    <row r="22" spans="1:6" ht="20.25" x14ac:dyDescent="0.3">
      <c r="A22" s="4">
        <v>11</v>
      </c>
      <c r="B22" s="3" t="s">
        <v>926</v>
      </c>
      <c r="C22" s="108">
        <v>2259.1</v>
      </c>
      <c r="D22" s="79">
        <v>104</v>
      </c>
      <c r="E22" s="79">
        <v>2</v>
      </c>
      <c r="F22" s="108">
        <v>6114371.4100000011</v>
      </c>
    </row>
    <row r="23" spans="1:6" ht="20.25" x14ac:dyDescent="0.3">
      <c r="A23" s="4">
        <v>12</v>
      </c>
      <c r="B23" s="3" t="s">
        <v>927</v>
      </c>
      <c r="C23" s="108">
        <v>4271.2</v>
      </c>
      <c r="D23" s="79">
        <v>161</v>
      </c>
      <c r="E23" s="79">
        <v>5</v>
      </c>
      <c r="F23" s="108">
        <v>13474518.75</v>
      </c>
    </row>
    <row r="24" spans="1:6" ht="20.25" x14ac:dyDescent="0.3">
      <c r="A24" s="4">
        <v>13</v>
      </c>
      <c r="B24" s="3" t="s">
        <v>928</v>
      </c>
      <c r="C24" s="108">
        <v>2996.9</v>
      </c>
      <c r="D24" s="79">
        <v>130</v>
      </c>
      <c r="E24" s="79">
        <v>5</v>
      </c>
      <c r="F24" s="108">
        <v>4109300.7899999996</v>
      </c>
    </row>
    <row r="25" spans="1:6" ht="20.25" x14ac:dyDescent="0.3">
      <c r="A25" s="4">
        <v>14</v>
      </c>
      <c r="B25" s="3" t="s">
        <v>930</v>
      </c>
      <c r="C25" s="108">
        <v>3504.3</v>
      </c>
      <c r="D25" s="79">
        <v>153</v>
      </c>
      <c r="E25" s="79">
        <v>1</v>
      </c>
      <c r="F25" s="108">
        <v>3674943.51</v>
      </c>
    </row>
    <row r="26" spans="1:6" ht="20.25" x14ac:dyDescent="0.3">
      <c r="A26" s="4">
        <v>15</v>
      </c>
      <c r="B26" s="3" t="s">
        <v>931</v>
      </c>
      <c r="C26" s="108">
        <v>39570.9</v>
      </c>
      <c r="D26" s="79">
        <v>1157</v>
      </c>
      <c r="E26" s="79">
        <v>17</v>
      </c>
      <c r="F26" s="108">
        <v>50473058.759999998</v>
      </c>
    </row>
    <row r="27" spans="1:6" ht="20.25" x14ac:dyDescent="0.3">
      <c r="A27" s="4">
        <v>16</v>
      </c>
      <c r="B27" s="3" t="s">
        <v>932</v>
      </c>
      <c r="C27" s="108">
        <v>13587.6</v>
      </c>
      <c r="D27" s="79">
        <v>812</v>
      </c>
      <c r="E27" s="79">
        <v>17</v>
      </c>
      <c r="F27" s="108">
        <v>36604324.610000007</v>
      </c>
    </row>
    <row r="28" spans="1:6" ht="20.25" x14ac:dyDescent="0.3">
      <c r="A28" s="4">
        <v>17</v>
      </c>
      <c r="B28" s="3" t="s">
        <v>933</v>
      </c>
      <c r="C28" s="108">
        <v>2214.1</v>
      </c>
      <c r="D28" s="79">
        <v>77</v>
      </c>
      <c r="E28" s="79">
        <v>6</v>
      </c>
      <c r="F28" s="108">
        <v>4497026.37</v>
      </c>
    </row>
    <row r="29" spans="1:6" ht="20.25" x14ac:dyDescent="0.3">
      <c r="A29" s="4">
        <v>18</v>
      </c>
      <c r="B29" s="3" t="s">
        <v>934</v>
      </c>
      <c r="C29" s="108">
        <v>2026.2</v>
      </c>
      <c r="D29" s="79">
        <v>65</v>
      </c>
      <c r="E29" s="79">
        <v>3</v>
      </c>
      <c r="F29" s="108">
        <v>5532352.54</v>
      </c>
    </row>
    <row r="30" spans="1:6" ht="20.25" x14ac:dyDescent="0.3">
      <c r="A30" s="4">
        <v>19</v>
      </c>
      <c r="B30" s="3" t="s">
        <v>993</v>
      </c>
      <c r="C30" s="108">
        <v>1746.5</v>
      </c>
      <c r="D30" s="79">
        <v>90</v>
      </c>
      <c r="E30" s="79">
        <v>2</v>
      </c>
      <c r="F30" s="108">
        <v>7838189.9699999997</v>
      </c>
    </row>
    <row r="31" spans="1:6" ht="20.25" x14ac:dyDescent="0.3">
      <c r="A31" s="4">
        <v>20</v>
      </c>
      <c r="B31" s="3" t="s">
        <v>937</v>
      </c>
      <c r="C31" s="77">
        <v>5687.8</v>
      </c>
      <c r="D31" s="78">
        <v>224</v>
      </c>
      <c r="E31" s="79">
        <v>3</v>
      </c>
      <c r="F31" s="108">
        <v>8690043.9199999999</v>
      </c>
    </row>
    <row r="32" spans="1:6" ht="20.25" x14ac:dyDescent="0.3">
      <c r="A32" s="4">
        <v>21</v>
      </c>
      <c r="B32" s="3" t="s">
        <v>980</v>
      </c>
      <c r="C32" s="77">
        <v>12399.000000000002</v>
      </c>
      <c r="D32" s="78">
        <v>454</v>
      </c>
      <c r="E32" s="79">
        <v>3</v>
      </c>
      <c r="F32" s="108">
        <v>12110136.890000001</v>
      </c>
    </row>
    <row r="33" spans="1:6" ht="20.25" x14ac:dyDescent="0.3">
      <c r="A33" s="4">
        <v>22</v>
      </c>
      <c r="B33" s="3" t="s">
        <v>939</v>
      </c>
      <c r="C33" s="77">
        <v>846.4</v>
      </c>
      <c r="D33" s="78">
        <v>26</v>
      </c>
      <c r="E33" s="79">
        <v>1</v>
      </c>
      <c r="F33" s="108">
        <v>5698132.5200000005</v>
      </c>
    </row>
    <row r="34" spans="1:6" ht="20.25" x14ac:dyDescent="0.3">
      <c r="A34" s="4">
        <v>23</v>
      </c>
      <c r="B34" s="3" t="s">
        <v>941</v>
      </c>
      <c r="C34" s="108">
        <v>47247.65</v>
      </c>
      <c r="D34" s="79">
        <v>1628</v>
      </c>
      <c r="E34" s="79">
        <v>15</v>
      </c>
      <c r="F34" s="108">
        <v>56051993.530000001</v>
      </c>
    </row>
    <row r="35" spans="1:6" ht="20.25" x14ac:dyDescent="0.3">
      <c r="A35" s="4">
        <v>24</v>
      </c>
      <c r="B35" s="3" t="s">
        <v>994</v>
      </c>
      <c r="C35" s="108">
        <v>2529.2999999999997</v>
      </c>
      <c r="D35" s="79">
        <v>114</v>
      </c>
      <c r="E35" s="79">
        <v>2</v>
      </c>
      <c r="F35" s="108">
        <v>2913286.51</v>
      </c>
    </row>
    <row r="36" spans="1:6" ht="20.25" x14ac:dyDescent="0.3">
      <c r="A36" s="4">
        <v>25</v>
      </c>
      <c r="B36" s="3" t="s">
        <v>995</v>
      </c>
      <c r="C36" s="108">
        <v>375</v>
      </c>
      <c r="D36" s="79">
        <v>14</v>
      </c>
      <c r="E36" s="79">
        <v>1</v>
      </c>
      <c r="F36" s="108">
        <v>2727875.44</v>
      </c>
    </row>
    <row r="37" spans="1:6" ht="20.25" x14ac:dyDescent="0.3">
      <c r="A37" s="4">
        <v>26</v>
      </c>
      <c r="B37" s="3" t="s">
        <v>996</v>
      </c>
      <c r="C37" s="108">
        <v>1156.21</v>
      </c>
      <c r="D37" s="79">
        <v>34</v>
      </c>
      <c r="E37" s="79">
        <v>1</v>
      </c>
      <c r="F37" s="108">
        <v>3866903.76</v>
      </c>
    </row>
    <row r="38" spans="1:6" ht="20.25" x14ac:dyDescent="0.3">
      <c r="A38" s="4">
        <v>27</v>
      </c>
      <c r="B38" s="3" t="s">
        <v>943</v>
      </c>
      <c r="C38" s="108">
        <v>2599.7999999999997</v>
      </c>
      <c r="D38" s="79">
        <v>115</v>
      </c>
      <c r="E38" s="79">
        <v>4</v>
      </c>
      <c r="F38" s="108">
        <v>11389569.279999999</v>
      </c>
    </row>
    <row r="39" spans="1:6" ht="20.25" x14ac:dyDescent="0.3">
      <c r="A39" s="4">
        <v>28</v>
      </c>
      <c r="B39" s="3" t="s">
        <v>944</v>
      </c>
      <c r="C39" s="77">
        <v>1157</v>
      </c>
      <c r="D39" s="78">
        <v>49</v>
      </c>
      <c r="E39" s="79">
        <v>2</v>
      </c>
      <c r="F39" s="108">
        <v>4635021.79</v>
      </c>
    </row>
    <row r="40" spans="1:6" ht="20.25" x14ac:dyDescent="0.3">
      <c r="A40" s="4">
        <v>29</v>
      </c>
      <c r="B40" s="3" t="s">
        <v>942</v>
      </c>
      <c r="C40" s="109">
        <v>407.9</v>
      </c>
      <c r="D40" s="110">
        <v>24</v>
      </c>
      <c r="E40" s="79">
        <v>1</v>
      </c>
      <c r="F40" s="108">
        <v>1547699.36</v>
      </c>
    </row>
    <row r="41" spans="1:6" ht="20.25" x14ac:dyDescent="0.3">
      <c r="A41" s="4">
        <v>30</v>
      </c>
      <c r="B41" s="3" t="s">
        <v>945</v>
      </c>
      <c r="C41" s="108">
        <v>2141.5</v>
      </c>
      <c r="D41" s="79">
        <v>79</v>
      </c>
      <c r="E41" s="79">
        <v>4</v>
      </c>
      <c r="F41" s="108">
        <v>7290181.6600000001</v>
      </c>
    </row>
    <row r="42" spans="1:6" ht="20.25" x14ac:dyDescent="0.3">
      <c r="A42" s="4">
        <v>31</v>
      </c>
      <c r="B42" s="3" t="s">
        <v>981</v>
      </c>
      <c r="C42" s="77">
        <v>829.4</v>
      </c>
      <c r="D42" s="78">
        <v>24</v>
      </c>
      <c r="E42" s="79">
        <v>1</v>
      </c>
      <c r="F42" s="108">
        <v>3230853.85</v>
      </c>
    </row>
    <row r="43" spans="1:6" ht="20.25" x14ac:dyDescent="0.3">
      <c r="A43" s="4">
        <v>32</v>
      </c>
      <c r="B43" s="3" t="s">
        <v>946</v>
      </c>
      <c r="C43" s="77">
        <v>14750.5</v>
      </c>
      <c r="D43" s="78">
        <v>473</v>
      </c>
      <c r="E43" s="79">
        <v>6</v>
      </c>
      <c r="F43" s="108">
        <v>22440468.149999999</v>
      </c>
    </row>
    <row r="44" spans="1:6" ht="20.25" x14ac:dyDescent="0.3">
      <c r="A44" s="4">
        <v>33</v>
      </c>
      <c r="B44" s="3" t="s">
        <v>947</v>
      </c>
      <c r="C44" s="77">
        <v>613</v>
      </c>
      <c r="D44" s="78">
        <v>33</v>
      </c>
      <c r="E44" s="79">
        <v>1</v>
      </c>
      <c r="F44" s="108">
        <v>3182125.2199999997</v>
      </c>
    </row>
    <row r="45" spans="1:6" ht="20.25" x14ac:dyDescent="0.3">
      <c r="A45" s="4">
        <v>34</v>
      </c>
      <c r="B45" s="3" t="s">
        <v>982</v>
      </c>
      <c r="C45" s="77">
        <v>320</v>
      </c>
      <c r="D45" s="78">
        <v>21</v>
      </c>
      <c r="E45" s="79">
        <v>1</v>
      </c>
      <c r="F45" s="108">
        <v>522383.64</v>
      </c>
    </row>
    <row r="46" spans="1:6" ht="20.25" x14ac:dyDescent="0.3">
      <c r="A46" s="4">
        <v>35</v>
      </c>
      <c r="B46" s="3" t="s">
        <v>949</v>
      </c>
      <c r="C46" s="108">
        <v>6463.98</v>
      </c>
      <c r="D46" s="79">
        <v>243</v>
      </c>
      <c r="E46" s="79">
        <v>5</v>
      </c>
      <c r="F46" s="108">
        <v>18514841.960000001</v>
      </c>
    </row>
    <row r="47" spans="1:6" ht="20.25" x14ac:dyDescent="0.3">
      <c r="A47" s="4">
        <v>36</v>
      </c>
      <c r="B47" s="3" t="s">
        <v>952</v>
      </c>
      <c r="C47" s="77">
        <v>2767.4</v>
      </c>
      <c r="D47" s="78">
        <v>148</v>
      </c>
      <c r="E47" s="79">
        <v>1</v>
      </c>
      <c r="F47" s="108">
        <v>5141890.2</v>
      </c>
    </row>
    <row r="48" spans="1:6" ht="20.25" x14ac:dyDescent="0.3">
      <c r="A48" s="4">
        <v>37</v>
      </c>
      <c r="B48" s="3" t="s">
        <v>958</v>
      </c>
      <c r="C48" s="77">
        <v>21697.839999999997</v>
      </c>
      <c r="D48" s="78">
        <v>751</v>
      </c>
      <c r="E48" s="79">
        <v>4</v>
      </c>
      <c r="F48" s="108">
        <v>21864677.539999999</v>
      </c>
    </row>
    <row r="49" spans="1:6" ht="20.25" x14ac:dyDescent="0.3">
      <c r="A49" s="4">
        <v>38</v>
      </c>
      <c r="B49" s="3" t="s">
        <v>953</v>
      </c>
      <c r="C49" s="77">
        <v>21187.5</v>
      </c>
      <c r="D49" s="78">
        <v>986</v>
      </c>
      <c r="E49" s="79">
        <v>7</v>
      </c>
      <c r="F49" s="108">
        <v>34570625.039999999</v>
      </c>
    </row>
    <row r="50" spans="1:6" ht="20.25" x14ac:dyDescent="0.3">
      <c r="A50" s="4">
        <v>39</v>
      </c>
      <c r="B50" s="3" t="s">
        <v>954</v>
      </c>
      <c r="C50" s="77">
        <v>5121.21</v>
      </c>
      <c r="D50" s="78">
        <v>162</v>
      </c>
      <c r="E50" s="79">
        <v>5</v>
      </c>
      <c r="F50" s="108">
        <v>12742956.99</v>
      </c>
    </row>
    <row r="51" spans="1:6" ht="20.25" x14ac:dyDescent="0.3">
      <c r="A51" s="4">
        <v>40</v>
      </c>
      <c r="B51" s="3" t="s">
        <v>955</v>
      </c>
      <c r="C51" s="77">
        <v>1488.6</v>
      </c>
      <c r="D51" s="78">
        <v>67</v>
      </c>
      <c r="E51" s="79">
        <v>2</v>
      </c>
      <c r="F51" s="108">
        <v>6025381.3300000001</v>
      </c>
    </row>
    <row r="52" spans="1:6" ht="20.25" x14ac:dyDescent="0.3">
      <c r="A52" s="4">
        <v>41</v>
      </c>
      <c r="B52" s="3" t="s">
        <v>957</v>
      </c>
      <c r="C52" s="77">
        <v>14074.8</v>
      </c>
      <c r="D52" s="78">
        <v>602</v>
      </c>
      <c r="E52" s="79">
        <v>9</v>
      </c>
      <c r="F52" s="108">
        <v>29961094.709999993</v>
      </c>
    </row>
    <row r="53" spans="1:6" ht="20.25" x14ac:dyDescent="0.3">
      <c r="A53" s="4">
        <v>42</v>
      </c>
      <c r="B53" s="3" t="s">
        <v>985</v>
      </c>
      <c r="C53" s="77">
        <v>609.5</v>
      </c>
      <c r="D53" s="78">
        <v>16</v>
      </c>
      <c r="E53" s="79">
        <v>1</v>
      </c>
      <c r="F53" s="108">
        <v>2521615.3599999999</v>
      </c>
    </row>
    <row r="54" spans="1:6" ht="20.25" x14ac:dyDescent="0.3">
      <c r="A54" s="4">
        <v>43</v>
      </c>
      <c r="B54" s="3" t="s">
        <v>956</v>
      </c>
      <c r="C54" s="77">
        <v>878.6</v>
      </c>
      <c r="D54" s="78">
        <v>65</v>
      </c>
      <c r="E54" s="79">
        <v>1</v>
      </c>
      <c r="F54" s="108">
        <v>3726576.42</v>
      </c>
    </row>
    <row r="55" spans="1:6" ht="20.25" x14ac:dyDescent="0.3">
      <c r="A55" s="4">
        <v>44</v>
      </c>
      <c r="B55" s="3" t="s">
        <v>959</v>
      </c>
      <c r="C55" s="108">
        <v>940.6</v>
      </c>
      <c r="D55" s="79">
        <v>33</v>
      </c>
      <c r="E55" s="79">
        <v>1</v>
      </c>
      <c r="F55" s="108">
        <v>5198352.66</v>
      </c>
    </row>
    <row r="56" spans="1:6" ht="20.25" x14ac:dyDescent="0.3">
      <c r="A56" s="4">
        <v>45</v>
      </c>
      <c r="B56" s="3" t="s">
        <v>997</v>
      </c>
      <c r="C56" s="108">
        <v>320</v>
      </c>
      <c r="D56" s="79">
        <v>19</v>
      </c>
      <c r="E56" s="79">
        <v>1</v>
      </c>
      <c r="F56" s="108">
        <v>1821119.2799999998</v>
      </c>
    </row>
    <row r="57" spans="1:6" ht="20.25" x14ac:dyDescent="0.3">
      <c r="A57" s="4">
        <v>46</v>
      </c>
      <c r="B57" s="3" t="s">
        <v>1396</v>
      </c>
      <c r="C57" s="108">
        <v>953.9</v>
      </c>
      <c r="D57" s="79">
        <v>28</v>
      </c>
      <c r="E57" s="79">
        <v>1</v>
      </c>
      <c r="F57" s="108">
        <v>4609049.76</v>
      </c>
    </row>
    <row r="58" spans="1:6" ht="20.25" x14ac:dyDescent="0.3">
      <c r="A58" s="4">
        <v>47</v>
      </c>
      <c r="B58" s="3" t="s">
        <v>986</v>
      </c>
      <c r="C58" s="108">
        <v>1446.38</v>
      </c>
      <c r="D58" s="79">
        <v>93</v>
      </c>
      <c r="E58" s="79">
        <v>1</v>
      </c>
      <c r="F58" s="108">
        <v>5368567.4000000004</v>
      </c>
    </row>
    <row r="59" spans="1:6" ht="20.25" x14ac:dyDescent="0.3">
      <c r="A59" s="4">
        <v>48</v>
      </c>
      <c r="B59" s="3" t="s">
        <v>998</v>
      </c>
      <c r="C59" s="77">
        <v>676.3</v>
      </c>
      <c r="D59" s="78">
        <v>33</v>
      </c>
      <c r="E59" s="79">
        <v>1</v>
      </c>
      <c r="F59" s="108">
        <v>2682382.0500000003</v>
      </c>
    </row>
    <row r="60" spans="1:6" ht="20.25" x14ac:dyDescent="0.3">
      <c r="A60" s="4">
        <v>49</v>
      </c>
      <c r="B60" s="3" t="s">
        <v>962</v>
      </c>
      <c r="C60" s="109">
        <v>3415.58</v>
      </c>
      <c r="D60" s="110">
        <v>141</v>
      </c>
      <c r="E60" s="79">
        <v>5</v>
      </c>
      <c r="F60" s="108">
        <v>11742480.740000002</v>
      </c>
    </row>
    <row r="61" spans="1:6" ht="20.25" x14ac:dyDescent="0.3">
      <c r="A61" s="4">
        <v>50</v>
      </c>
      <c r="B61" s="3" t="s">
        <v>988</v>
      </c>
      <c r="C61" s="108">
        <v>39848.200000000004</v>
      </c>
      <c r="D61" s="79">
        <v>1332</v>
      </c>
      <c r="E61" s="79">
        <v>11</v>
      </c>
      <c r="F61" s="108">
        <v>43274846.74000001</v>
      </c>
    </row>
    <row r="62" spans="1:6" ht="20.25" x14ac:dyDescent="0.3">
      <c r="A62" s="4">
        <v>51</v>
      </c>
      <c r="B62" s="3" t="s">
        <v>964</v>
      </c>
      <c r="C62" s="77">
        <v>33276.850000000006</v>
      </c>
      <c r="D62" s="78">
        <v>1281</v>
      </c>
      <c r="E62" s="79">
        <v>8</v>
      </c>
      <c r="F62" s="108">
        <v>38327194.07</v>
      </c>
    </row>
    <row r="63" spans="1:6" ht="20.25" x14ac:dyDescent="0.3">
      <c r="A63" s="4">
        <v>52</v>
      </c>
      <c r="B63" s="3" t="s">
        <v>1397</v>
      </c>
      <c r="C63" s="77">
        <v>720.74</v>
      </c>
      <c r="D63" s="78">
        <v>19</v>
      </c>
      <c r="E63" s="79">
        <v>1</v>
      </c>
      <c r="F63" s="108">
        <v>2298882.5099999998</v>
      </c>
    </row>
    <row r="64" spans="1:6" ht="20.25" x14ac:dyDescent="0.3">
      <c r="A64" s="4">
        <v>53</v>
      </c>
      <c r="B64" s="3" t="s">
        <v>1394</v>
      </c>
      <c r="C64" s="77">
        <v>970.5</v>
      </c>
      <c r="D64" s="78">
        <v>38</v>
      </c>
      <c r="E64" s="79">
        <v>1</v>
      </c>
      <c r="F64" s="108">
        <v>467593.97</v>
      </c>
    </row>
    <row r="65" spans="1:10" ht="20.25" x14ac:dyDescent="0.3">
      <c r="A65" s="4">
        <v>54</v>
      </c>
      <c r="B65" s="3" t="s">
        <v>965</v>
      </c>
      <c r="C65" s="77">
        <v>3040.6</v>
      </c>
      <c r="D65" s="78">
        <v>115</v>
      </c>
      <c r="E65" s="79">
        <v>5</v>
      </c>
      <c r="F65" s="108">
        <v>10671208.33</v>
      </c>
    </row>
    <row r="66" spans="1:10" ht="20.25" x14ac:dyDescent="0.3">
      <c r="A66" s="4">
        <v>55</v>
      </c>
      <c r="B66" s="3" t="s">
        <v>966</v>
      </c>
      <c r="C66" s="108">
        <v>1191.0999999999999</v>
      </c>
      <c r="D66" s="79">
        <v>31</v>
      </c>
      <c r="E66" s="79">
        <v>1</v>
      </c>
      <c r="F66" s="108">
        <v>2887803.45</v>
      </c>
    </row>
    <row r="67" spans="1:10" ht="20.25" x14ac:dyDescent="0.3">
      <c r="A67" s="4">
        <v>56</v>
      </c>
      <c r="B67" s="3" t="s">
        <v>967</v>
      </c>
      <c r="C67" s="77">
        <v>706</v>
      </c>
      <c r="D67" s="78">
        <v>41</v>
      </c>
      <c r="E67" s="79">
        <v>1</v>
      </c>
      <c r="F67" s="108">
        <v>3060372.16</v>
      </c>
    </row>
    <row r="68" spans="1:10" ht="20.25" x14ac:dyDescent="0.3">
      <c r="A68" s="4">
        <v>57</v>
      </c>
      <c r="B68" s="3" t="s">
        <v>968</v>
      </c>
      <c r="C68" s="77">
        <v>2609.1000000000004</v>
      </c>
      <c r="D68" s="78">
        <v>98</v>
      </c>
      <c r="E68" s="79">
        <v>2</v>
      </c>
      <c r="F68" s="108">
        <v>6877537.6499999994</v>
      </c>
    </row>
    <row r="69" spans="1:10" ht="20.25" x14ac:dyDescent="0.3">
      <c r="A69" s="4">
        <v>58</v>
      </c>
      <c r="B69" s="3" t="s">
        <v>990</v>
      </c>
      <c r="C69" s="77">
        <v>702.7</v>
      </c>
      <c r="D69" s="78">
        <v>34</v>
      </c>
      <c r="E69" s="79">
        <v>1</v>
      </c>
      <c r="F69" s="108">
        <v>3253210.4899999998</v>
      </c>
    </row>
    <row r="70" spans="1:10" ht="20.25" x14ac:dyDescent="0.3">
      <c r="A70" s="4">
        <v>59</v>
      </c>
      <c r="B70" s="3" t="s">
        <v>1398</v>
      </c>
      <c r="C70" s="77">
        <v>853.8</v>
      </c>
      <c r="D70" s="78">
        <v>38</v>
      </c>
      <c r="E70" s="79">
        <v>1</v>
      </c>
      <c r="F70" s="108">
        <v>2309984.35</v>
      </c>
    </row>
    <row r="71" spans="1:10" ht="20.25" x14ac:dyDescent="0.3">
      <c r="A71" s="4">
        <v>60</v>
      </c>
      <c r="B71" s="3" t="s">
        <v>969</v>
      </c>
      <c r="C71" s="77">
        <v>3456.2</v>
      </c>
      <c r="D71" s="78">
        <v>132</v>
      </c>
      <c r="E71" s="79">
        <v>6</v>
      </c>
      <c r="F71" s="108">
        <v>7966049.0899999989</v>
      </c>
    </row>
    <row r="72" spans="1:10" ht="20.25" x14ac:dyDescent="0.3">
      <c r="A72" s="4">
        <v>61</v>
      </c>
      <c r="B72" s="3" t="s">
        <v>970</v>
      </c>
      <c r="C72" s="77">
        <v>1755.2</v>
      </c>
      <c r="D72" s="78">
        <v>63</v>
      </c>
      <c r="E72" s="79">
        <v>1</v>
      </c>
      <c r="F72" s="108">
        <v>4880587.2799999993</v>
      </c>
    </row>
    <row r="73" spans="1:10" ht="20.25" x14ac:dyDescent="0.3">
      <c r="A73" s="4">
        <v>62</v>
      </c>
      <c r="B73" s="3" t="s">
        <v>991</v>
      </c>
      <c r="C73" s="77">
        <v>4920.8999999999996</v>
      </c>
      <c r="D73" s="78">
        <v>133</v>
      </c>
      <c r="E73" s="79">
        <v>2</v>
      </c>
      <c r="F73" s="108">
        <v>8957085.8399999999</v>
      </c>
    </row>
    <row r="74" spans="1:10" ht="20.25" x14ac:dyDescent="0.3">
      <c r="A74" s="4">
        <v>63</v>
      </c>
      <c r="B74" s="3" t="s">
        <v>971</v>
      </c>
      <c r="C74" s="77">
        <v>428.4</v>
      </c>
      <c r="D74" s="78">
        <v>20</v>
      </c>
      <c r="E74" s="79">
        <v>1</v>
      </c>
      <c r="F74" s="108">
        <v>2644709.0300000003</v>
      </c>
    </row>
    <row r="75" spans="1:10" ht="20.25" x14ac:dyDescent="0.3">
      <c r="A75" s="4">
        <v>64</v>
      </c>
      <c r="B75" s="3" t="s">
        <v>973</v>
      </c>
      <c r="C75" s="77">
        <v>11982.3</v>
      </c>
      <c r="D75" s="78">
        <v>561</v>
      </c>
      <c r="E75" s="79">
        <v>8</v>
      </c>
      <c r="F75" s="108">
        <v>18641834.120000001</v>
      </c>
    </row>
    <row r="76" spans="1:10" ht="20.25" x14ac:dyDescent="0.3">
      <c r="A76" s="4">
        <v>65</v>
      </c>
      <c r="B76" s="3" t="s">
        <v>974</v>
      </c>
      <c r="C76" s="77">
        <v>3295.2</v>
      </c>
      <c r="D76" s="78">
        <v>81</v>
      </c>
      <c r="E76" s="79">
        <v>5</v>
      </c>
      <c r="F76" s="108">
        <v>7944432.1499999994</v>
      </c>
    </row>
    <row r="77" spans="1:10" ht="20.25" x14ac:dyDescent="0.3">
      <c r="A77" s="4">
        <v>66</v>
      </c>
      <c r="B77" s="3" t="s">
        <v>999</v>
      </c>
      <c r="C77" s="77">
        <v>1634.9</v>
      </c>
      <c r="D77" s="78">
        <v>75</v>
      </c>
      <c r="E77" s="79">
        <v>3</v>
      </c>
      <c r="F77" s="108">
        <v>917252.46</v>
      </c>
    </row>
    <row r="78" spans="1:10" ht="20.25" x14ac:dyDescent="0.3">
      <c r="A78" s="4">
        <v>67</v>
      </c>
      <c r="B78" s="3" t="s">
        <v>992</v>
      </c>
      <c r="C78" s="77">
        <v>317.39999999999998</v>
      </c>
      <c r="D78" s="78">
        <v>17</v>
      </c>
      <c r="E78" s="79">
        <v>1</v>
      </c>
      <c r="F78" s="108">
        <v>1455782.0000000002</v>
      </c>
    </row>
    <row r="79" spans="1:10" ht="20.25" x14ac:dyDescent="0.3">
      <c r="A79" s="3" t="s">
        <v>779</v>
      </c>
      <c r="B79" s="3"/>
      <c r="C79" s="77">
        <f>SUM(C80:C135)</f>
        <v>839933.56000000017</v>
      </c>
      <c r="D79" s="78">
        <f>SUM(D80:D135)</f>
        <v>32617</v>
      </c>
      <c r="E79" s="79">
        <f>SUM(E80:E135)</f>
        <v>337</v>
      </c>
      <c r="F79" s="77">
        <f>SUM(F80:F135)</f>
        <v>888207694.61000001</v>
      </c>
    </row>
    <row r="80" spans="1:10" ht="20.25" x14ac:dyDescent="0.3">
      <c r="A80" s="4">
        <v>1</v>
      </c>
      <c r="B80" s="3" t="s">
        <v>1013</v>
      </c>
      <c r="C80" s="77">
        <v>434844.25000000006</v>
      </c>
      <c r="D80" s="78">
        <v>17619</v>
      </c>
      <c r="E80" s="79">
        <v>133</v>
      </c>
      <c r="F80" s="108">
        <v>281557554.18999988</v>
      </c>
      <c r="H80" s="6">
        <v>209231.22999999995</v>
      </c>
      <c r="I80" s="6">
        <v>8552</v>
      </c>
      <c r="J80" s="6">
        <v>216853215.43000004</v>
      </c>
    </row>
    <row r="81" spans="1:10" ht="20.25" x14ac:dyDescent="0.3">
      <c r="A81" s="4">
        <v>2</v>
      </c>
      <c r="B81" s="3" t="s">
        <v>918</v>
      </c>
      <c r="C81" s="77">
        <v>19943.299999999996</v>
      </c>
      <c r="D81" s="78">
        <v>845</v>
      </c>
      <c r="E81" s="79">
        <v>17</v>
      </c>
      <c r="F81" s="108">
        <v>58473507.189999998</v>
      </c>
      <c r="H81" s="6">
        <v>15519.199999999999</v>
      </c>
      <c r="I81" s="6">
        <v>787</v>
      </c>
      <c r="J81" s="6">
        <v>45048314.759999998</v>
      </c>
    </row>
    <row r="82" spans="1:10" ht="20.25" x14ac:dyDescent="0.3">
      <c r="A82" s="4">
        <v>3</v>
      </c>
      <c r="B82" s="3" t="s">
        <v>919</v>
      </c>
      <c r="C82" s="77">
        <v>105550.56999999996</v>
      </c>
      <c r="D82" s="78">
        <v>4360</v>
      </c>
      <c r="E82" s="79">
        <v>58</v>
      </c>
      <c r="F82" s="108">
        <v>107451790.59</v>
      </c>
      <c r="H82" s="6">
        <v>55253.150000000009</v>
      </c>
      <c r="I82" s="6">
        <v>2316</v>
      </c>
      <c r="J82" s="6">
        <v>91626897.959999993</v>
      </c>
    </row>
    <row r="83" spans="1:10" ht="20.25" x14ac:dyDescent="0.3">
      <c r="A83" s="4">
        <v>4</v>
      </c>
      <c r="B83" s="3" t="s">
        <v>975</v>
      </c>
      <c r="C83" s="77">
        <v>71756.509999999995</v>
      </c>
      <c r="D83" s="78">
        <v>2297</v>
      </c>
      <c r="E83" s="79">
        <v>20</v>
      </c>
      <c r="F83" s="108">
        <v>43029746.93</v>
      </c>
      <c r="H83" s="6">
        <v>26773.05</v>
      </c>
      <c r="I83" s="6">
        <v>869</v>
      </c>
      <c r="J83" s="6">
        <v>44137673.120000005</v>
      </c>
    </row>
    <row r="84" spans="1:10" ht="20.25" x14ac:dyDescent="0.3">
      <c r="A84" s="4">
        <v>5</v>
      </c>
      <c r="B84" s="3" t="s">
        <v>921</v>
      </c>
      <c r="C84" s="77">
        <v>16386.399999999998</v>
      </c>
      <c r="D84" s="78">
        <v>704</v>
      </c>
      <c r="E84" s="79">
        <v>3</v>
      </c>
      <c r="F84" s="108">
        <v>21856214.649999999</v>
      </c>
      <c r="H84" s="6">
        <v>13712.7</v>
      </c>
      <c r="I84" s="6">
        <v>336</v>
      </c>
      <c r="J84" s="6">
        <v>21856214.650000002</v>
      </c>
    </row>
    <row r="85" spans="1:10" ht="20.25" x14ac:dyDescent="0.3">
      <c r="A85" s="4">
        <v>6</v>
      </c>
      <c r="B85" s="3" t="s">
        <v>922</v>
      </c>
      <c r="C85" s="77">
        <v>36192.549999999996</v>
      </c>
      <c r="D85" s="78">
        <v>1309</v>
      </c>
      <c r="E85" s="79">
        <v>17</v>
      </c>
      <c r="F85" s="108">
        <v>65732746.93</v>
      </c>
      <c r="H85" s="6">
        <v>45913.430000000008</v>
      </c>
      <c r="I85" s="6">
        <v>1959</v>
      </c>
      <c r="J85" s="6">
        <v>51679396.32</v>
      </c>
    </row>
    <row r="86" spans="1:10" ht="20.25" x14ac:dyDescent="0.3">
      <c r="A86" s="4">
        <v>7</v>
      </c>
      <c r="B86" s="3" t="s">
        <v>923</v>
      </c>
      <c r="C86" s="77">
        <v>12179.5</v>
      </c>
      <c r="D86" s="78">
        <v>420</v>
      </c>
      <c r="E86" s="79">
        <v>2</v>
      </c>
      <c r="F86" s="108">
        <v>10075097.600000001</v>
      </c>
      <c r="H86" s="6">
        <v>11170.900000000001</v>
      </c>
      <c r="I86" s="6">
        <v>305</v>
      </c>
      <c r="J86" s="6">
        <v>9890638.1399999987</v>
      </c>
    </row>
    <row r="87" spans="1:10" ht="20.25" x14ac:dyDescent="0.3">
      <c r="A87" s="4">
        <v>8</v>
      </c>
      <c r="B87" s="3" t="s">
        <v>924</v>
      </c>
      <c r="C87" s="77">
        <v>3741.9999999999995</v>
      </c>
      <c r="D87" s="78">
        <v>153</v>
      </c>
      <c r="E87" s="79">
        <v>4</v>
      </c>
      <c r="F87" s="108">
        <v>13069363.829999998</v>
      </c>
      <c r="H87" s="6">
        <v>4408.6000000000004</v>
      </c>
      <c r="I87" s="6">
        <v>120</v>
      </c>
      <c r="J87" s="6">
        <v>11422752.699999999</v>
      </c>
    </row>
    <row r="88" spans="1:10" ht="20.25" x14ac:dyDescent="0.3">
      <c r="A88" s="4">
        <v>9</v>
      </c>
      <c r="B88" s="3" t="s">
        <v>925</v>
      </c>
      <c r="C88" s="77">
        <v>6782.4000000000005</v>
      </c>
      <c r="D88" s="78">
        <v>246</v>
      </c>
      <c r="E88" s="79">
        <v>2</v>
      </c>
      <c r="F88" s="108">
        <v>9045880.0099999998</v>
      </c>
      <c r="H88" s="6">
        <v>8897</v>
      </c>
      <c r="I88" s="6">
        <v>313</v>
      </c>
      <c r="J88" s="6">
        <v>9642280</v>
      </c>
    </row>
    <row r="89" spans="1:10" ht="20.25" x14ac:dyDescent="0.3">
      <c r="A89" s="4">
        <v>10</v>
      </c>
      <c r="B89" s="3" t="s">
        <v>926</v>
      </c>
      <c r="C89" s="77">
        <v>2780.7</v>
      </c>
      <c r="D89" s="78">
        <v>103</v>
      </c>
      <c r="E89" s="79">
        <v>1</v>
      </c>
      <c r="F89" s="108">
        <v>2579501.7000000002</v>
      </c>
      <c r="H89" s="6">
        <v>804.5</v>
      </c>
      <c r="I89" s="6">
        <v>47</v>
      </c>
      <c r="J89" s="6">
        <v>4369866.08</v>
      </c>
    </row>
    <row r="90" spans="1:10" ht="20.25" x14ac:dyDescent="0.3">
      <c r="A90" s="4">
        <v>11</v>
      </c>
      <c r="B90" s="3" t="s">
        <v>928</v>
      </c>
      <c r="C90" s="77">
        <v>983.7</v>
      </c>
      <c r="D90" s="78">
        <v>39</v>
      </c>
      <c r="E90" s="79">
        <v>2</v>
      </c>
      <c r="F90" s="108">
        <v>3008567.42</v>
      </c>
      <c r="H90" s="6">
        <v>1070.8</v>
      </c>
      <c r="I90" s="6">
        <v>42</v>
      </c>
      <c r="J90" s="6">
        <v>2936950.21</v>
      </c>
    </row>
    <row r="91" spans="1:10" ht="20.25" x14ac:dyDescent="0.3">
      <c r="A91" s="4">
        <v>12</v>
      </c>
      <c r="B91" s="3" t="s">
        <v>976</v>
      </c>
      <c r="C91" s="77">
        <v>618.29999999999995</v>
      </c>
      <c r="D91" s="78">
        <v>30</v>
      </c>
      <c r="E91" s="79">
        <v>1</v>
      </c>
      <c r="F91" s="108">
        <v>3080948</v>
      </c>
      <c r="H91" s="6">
        <v>1426.8</v>
      </c>
      <c r="I91" s="6">
        <v>72</v>
      </c>
      <c r="J91" s="6">
        <v>2773728.46</v>
      </c>
    </row>
    <row r="92" spans="1:10" ht="20.25" x14ac:dyDescent="0.3">
      <c r="A92" s="4">
        <v>13</v>
      </c>
      <c r="B92" s="3" t="s">
        <v>930</v>
      </c>
      <c r="C92" s="77">
        <v>3085.8</v>
      </c>
      <c r="D92" s="78">
        <v>144</v>
      </c>
      <c r="E92" s="79">
        <v>1</v>
      </c>
      <c r="F92" s="108">
        <v>2000000</v>
      </c>
      <c r="H92" s="6">
        <v>456.6</v>
      </c>
      <c r="I92" s="6">
        <v>26</v>
      </c>
      <c r="J92" s="6">
        <v>2158336.3499999996</v>
      </c>
    </row>
    <row r="93" spans="1:10" ht="20.25" x14ac:dyDescent="0.3">
      <c r="A93" s="4">
        <v>14</v>
      </c>
      <c r="B93" s="3" t="s">
        <v>931</v>
      </c>
      <c r="C93" s="77">
        <v>16441</v>
      </c>
      <c r="D93" s="78">
        <v>486</v>
      </c>
      <c r="E93" s="79">
        <v>6</v>
      </c>
      <c r="F93" s="108">
        <v>23342012.82</v>
      </c>
      <c r="H93" s="6">
        <v>3374.6</v>
      </c>
      <c r="I93" s="6">
        <v>144</v>
      </c>
      <c r="J93" s="6">
        <v>2000000</v>
      </c>
    </row>
    <row r="94" spans="1:10" ht="20.25" x14ac:dyDescent="0.3">
      <c r="A94" s="4">
        <v>15</v>
      </c>
      <c r="B94" s="3" t="s">
        <v>932</v>
      </c>
      <c r="C94" s="77">
        <v>5990.6100000000006</v>
      </c>
      <c r="D94" s="78">
        <v>237</v>
      </c>
      <c r="E94" s="79">
        <v>4</v>
      </c>
      <c r="F94" s="108">
        <v>14656329.58</v>
      </c>
      <c r="H94" s="6">
        <v>13638.6</v>
      </c>
      <c r="I94" s="6">
        <v>299</v>
      </c>
      <c r="J94" s="6">
        <v>23342011.919999998</v>
      </c>
    </row>
    <row r="95" spans="1:10" ht="20.25" x14ac:dyDescent="0.3">
      <c r="A95" s="4">
        <v>16</v>
      </c>
      <c r="B95" s="3" t="s">
        <v>1399</v>
      </c>
      <c r="C95" s="77">
        <v>1322.4</v>
      </c>
      <c r="D95" s="78">
        <v>36</v>
      </c>
      <c r="E95" s="79">
        <v>1</v>
      </c>
      <c r="F95" s="108">
        <v>3284631.43</v>
      </c>
      <c r="H95" s="6">
        <v>5759.0999999999995</v>
      </c>
      <c r="I95" s="6">
        <v>215</v>
      </c>
      <c r="J95" s="6">
        <v>12591900</v>
      </c>
    </row>
    <row r="96" spans="1:10" ht="20.25" x14ac:dyDescent="0.3">
      <c r="A96" s="4">
        <v>17</v>
      </c>
      <c r="B96" s="3" t="s">
        <v>977</v>
      </c>
      <c r="C96" s="77">
        <v>924.3</v>
      </c>
      <c r="D96" s="78">
        <v>24</v>
      </c>
      <c r="E96" s="79">
        <v>1</v>
      </c>
      <c r="F96" s="108">
        <v>2255220</v>
      </c>
      <c r="H96" s="6">
        <v>396.2</v>
      </c>
      <c r="I96" s="6">
        <v>21</v>
      </c>
      <c r="J96" s="6">
        <v>1724820</v>
      </c>
    </row>
    <row r="97" spans="1:10" ht="20.25" x14ac:dyDescent="0.3">
      <c r="A97" s="4">
        <v>18</v>
      </c>
      <c r="B97" s="3" t="s">
        <v>978</v>
      </c>
      <c r="C97" s="77">
        <v>622.4</v>
      </c>
      <c r="D97" s="78">
        <v>35</v>
      </c>
      <c r="E97" s="79">
        <v>1</v>
      </c>
      <c r="F97" s="108">
        <v>2610900</v>
      </c>
      <c r="H97" s="6">
        <v>1011.8</v>
      </c>
      <c r="I97" s="6">
        <v>26</v>
      </c>
      <c r="J97" s="6">
        <v>1739107.3499999999</v>
      </c>
    </row>
    <row r="98" spans="1:10" ht="20.25" x14ac:dyDescent="0.3">
      <c r="A98" s="4">
        <v>19</v>
      </c>
      <c r="B98" s="3" t="s">
        <v>979</v>
      </c>
      <c r="C98" s="77">
        <v>531.9</v>
      </c>
      <c r="D98" s="78">
        <v>22</v>
      </c>
      <c r="E98" s="79">
        <v>1</v>
      </c>
      <c r="F98" s="108">
        <v>3133080</v>
      </c>
      <c r="H98" s="6">
        <v>594.20000000000005</v>
      </c>
      <c r="I98" s="6">
        <v>23</v>
      </c>
      <c r="J98" s="6">
        <v>3373804.98</v>
      </c>
    </row>
    <row r="99" spans="1:10" ht="20.25" x14ac:dyDescent="0.3">
      <c r="A99" s="4">
        <v>20</v>
      </c>
      <c r="B99" s="3" t="s">
        <v>937</v>
      </c>
      <c r="C99" s="77">
        <v>7845.75</v>
      </c>
      <c r="D99" s="78">
        <v>225</v>
      </c>
      <c r="E99" s="79">
        <v>1</v>
      </c>
      <c r="F99" s="108">
        <v>8458120</v>
      </c>
      <c r="H99" s="6">
        <v>906.9</v>
      </c>
      <c r="I99" s="6">
        <v>32</v>
      </c>
      <c r="J99" s="6">
        <v>3916350</v>
      </c>
    </row>
    <row r="100" spans="1:10" ht="20.25" x14ac:dyDescent="0.3">
      <c r="A100" s="4">
        <v>21</v>
      </c>
      <c r="B100" s="3" t="s">
        <v>938</v>
      </c>
      <c r="C100" s="77">
        <v>550.20000000000005</v>
      </c>
      <c r="D100" s="78">
        <v>20</v>
      </c>
      <c r="E100" s="79">
        <v>1</v>
      </c>
      <c r="F100" s="108">
        <v>2537436</v>
      </c>
      <c r="H100" s="6">
        <v>2184</v>
      </c>
      <c r="I100" s="6">
        <v>57</v>
      </c>
      <c r="J100" s="6">
        <v>3516578.96</v>
      </c>
    </row>
    <row r="101" spans="1:10" ht="20.25" x14ac:dyDescent="0.3">
      <c r="A101" s="4">
        <v>22</v>
      </c>
      <c r="B101" s="3" t="s">
        <v>980</v>
      </c>
      <c r="C101" s="77">
        <v>1206.8</v>
      </c>
      <c r="D101" s="78">
        <v>30</v>
      </c>
      <c r="E101" s="79">
        <v>1</v>
      </c>
      <c r="F101" s="108">
        <v>2968784.92</v>
      </c>
      <c r="H101" s="6">
        <v>1069.5</v>
      </c>
      <c r="I101" s="6">
        <v>39</v>
      </c>
      <c r="J101" s="6">
        <v>3598749.4899999998</v>
      </c>
    </row>
    <row r="102" spans="1:10" ht="20.25" x14ac:dyDescent="0.3">
      <c r="A102" s="4">
        <v>23</v>
      </c>
      <c r="B102" s="3" t="s">
        <v>941</v>
      </c>
      <c r="C102" s="77">
        <v>14693.869999999999</v>
      </c>
      <c r="D102" s="78">
        <v>542</v>
      </c>
      <c r="E102" s="79">
        <v>8</v>
      </c>
      <c r="F102" s="108">
        <v>29283340</v>
      </c>
      <c r="H102" s="6">
        <v>630</v>
      </c>
      <c r="I102" s="6">
        <v>32</v>
      </c>
      <c r="J102" s="6">
        <v>3488946.79</v>
      </c>
    </row>
    <row r="103" spans="1:10" ht="20.25" x14ac:dyDescent="0.3">
      <c r="A103" s="4">
        <v>24</v>
      </c>
      <c r="B103" s="3" t="s">
        <v>945</v>
      </c>
      <c r="C103" s="77">
        <v>791.5</v>
      </c>
      <c r="D103" s="78">
        <v>42</v>
      </c>
      <c r="E103" s="79">
        <v>1</v>
      </c>
      <c r="F103" s="108">
        <v>3328825.5</v>
      </c>
      <c r="H103" s="6">
        <v>626.5</v>
      </c>
      <c r="I103" s="6">
        <v>23</v>
      </c>
      <c r="J103" s="6">
        <v>1538879.17</v>
      </c>
    </row>
    <row r="104" spans="1:10" ht="20.25" x14ac:dyDescent="0.3">
      <c r="A104" s="4">
        <v>25</v>
      </c>
      <c r="B104" s="3" t="s">
        <v>944</v>
      </c>
      <c r="C104" s="77">
        <v>910.90000000000009</v>
      </c>
      <c r="D104" s="78">
        <v>39</v>
      </c>
      <c r="E104" s="79">
        <v>2</v>
      </c>
      <c r="F104" s="108">
        <v>5279138.41</v>
      </c>
      <c r="H104" s="6">
        <v>20161.96</v>
      </c>
      <c r="I104" s="6">
        <v>621</v>
      </c>
      <c r="J104" s="6">
        <v>28415186.600000001</v>
      </c>
    </row>
    <row r="105" spans="1:10" ht="20.25" x14ac:dyDescent="0.3">
      <c r="A105" s="4">
        <v>26</v>
      </c>
      <c r="B105" s="3" t="s">
        <v>981</v>
      </c>
      <c r="C105" s="77">
        <v>960.39</v>
      </c>
      <c r="D105" s="78">
        <v>48</v>
      </c>
      <c r="E105" s="79">
        <v>1</v>
      </c>
      <c r="F105" s="108">
        <v>4178956.32</v>
      </c>
      <c r="H105" s="6">
        <v>1573</v>
      </c>
      <c r="I105" s="6">
        <v>68</v>
      </c>
      <c r="J105" s="6">
        <v>5777967.8699999992</v>
      </c>
    </row>
    <row r="106" spans="1:10" ht="20.25" x14ac:dyDescent="0.3">
      <c r="A106" s="4">
        <v>27</v>
      </c>
      <c r="B106" s="3" t="s">
        <v>942</v>
      </c>
      <c r="C106" s="77">
        <v>388.8</v>
      </c>
      <c r="D106" s="78">
        <v>14</v>
      </c>
      <c r="E106" s="79">
        <v>1</v>
      </c>
      <c r="F106" s="108">
        <v>1889236.5</v>
      </c>
      <c r="H106" s="6">
        <v>1266.2</v>
      </c>
      <c r="I106" s="6">
        <v>52</v>
      </c>
      <c r="J106" s="6">
        <v>4715781.71</v>
      </c>
    </row>
    <row r="107" spans="1:10" ht="20.25" x14ac:dyDescent="0.3">
      <c r="A107" s="4">
        <v>28</v>
      </c>
      <c r="B107" s="3" t="s">
        <v>946</v>
      </c>
      <c r="C107" s="77">
        <v>3179.8</v>
      </c>
      <c r="D107" s="78">
        <v>106</v>
      </c>
      <c r="E107" s="79">
        <v>4</v>
      </c>
      <c r="F107" s="108">
        <v>10103503.050000001</v>
      </c>
      <c r="H107" s="6">
        <v>703.5</v>
      </c>
      <c r="I107" s="6">
        <v>36</v>
      </c>
      <c r="J107" s="6">
        <v>2590114.16</v>
      </c>
    </row>
    <row r="108" spans="1:10" ht="20.25" x14ac:dyDescent="0.3">
      <c r="A108" s="4">
        <v>29</v>
      </c>
      <c r="B108" s="3" t="s">
        <v>982</v>
      </c>
      <c r="C108" s="77">
        <v>530.5</v>
      </c>
      <c r="D108" s="78">
        <v>25</v>
      </c>
      <c r="E108" s="79">
        <v>2</v>
      </c>
      <c r="F108" s="108">
        <v>2766932.97</v>
      </c>
      <c r="H108" s="6">
        <v>1217.2</v>
      </c>
      <c r="I108" s="6">
        <v>47</v>
      </c>
      <c r="J108" s="6">
        <v>1456533.11</v>
      </c>
    </row>
    <row r="109" spans="1:10" ht="20.25" x14ac:dyDescent="0.3">
      <c r="A109" s="4">
        <v>30</v>
      </c>
      <c r="B109" s="3" t="s">
        <v>983</v>
      </c>
      <c r="C109" s="77">
        <v>654.5</v>
      </c>
      <c r="D109" s="78">
        <v>19</v>
      </c>
      <c r="E109" s="79">
        <v>1</v>
      </c>
      <c r="F109" s="108">
        <v>2568179.12</v>
      </c>
      <c r="H109" s="6">
        <v>1774</v>
      </c>
      <c r="I109" s="6">
        <v>80</v>
      </c>
      <c r="J109" s="6">
        <v>10290828.25</v>
      </c>
    </row>
    <row r="110" spans="1:10" ht="20.25" x14ac:dyDescent="0.3">
      <c r="A110" s="4">
        <v>31</v>
      </c>
      <c r="B110" s="3" t="s">
        <v>949</v>
      </c>
      <c r="C110" s="77">
        <v>1244.4000000000001</v>
      </c>
      <c r="D110" s="78">
        <v>34</v>
      </c>
      <c r="E110" s="79">
        <v>1</v>
      </c>
      <c r="F110" s="108">
        <v>2981647.8</v>
      </c>
      <c r="H110" s="6">
        <v>609</v>
      </c>
      <c r="I110" s="6">
        <v>31</v>
      </c>
      <c r="J110" s="6">
        <v>3013803.8600000003</v>
      </c>
    </row>
    <row r="111" spans="1:10" ht="20.25" x14ac:dyDescent="0.3">
      <c r="A111" s="4">
        <v>32</v>
      </c>
      <c r="B111" s="3" t="s">
        <v>984</v>
      </c>
      <c r="C111" s="77">
        <v>948.2</v>
      </c>
      <c r="D111" s="78">
        <v>43</v>
      </c>
      <c r="E111" s="79">
        <v>1</v>
      </c>
      <c r="F111" s="108">
        <v>4290230.8800000008</v>
      </c>
      <c r="H111" s="6">
        <v>616</v>
      </c>
      <c r="I111" s="6">
        <v>21</v>
      </c>
      <c r="J111" s="6">
        <v>2036502</v>
      </c>
    </row>
    <row r="112" spans="1:10" ht="20.25" x14ac:dyDescent="0.3">
      <c r="A112" s="4">
        <v>33</v>
      </c>
      <c r="B112" s="3" t="s">
        <v>950</v>
      </c>
      <c r="C112" s="77">
        <v>779.2</v>
      </c>
      <c r="D112" s="78">
        <v>33</v>
      </c>
      <c r="E112" s="79">
        <v>1</v>
      </c>
      <c r="F112" s="108">
        <v>2903320.8000000003</v>
      </c>
      <c r="H112" s="6">
        <v>772.9</v>
      </c>
      <c r="I112" s="6">
        <v>32</v>
      </c>
      <c r="J112" s="6">
        <v>3592598.4</v>
      </c>
    </row>
    <row r="113" spans="1:10" ht="20.25" x14ac:dyDescent="0.3">
      <c r="A113" s="4">
        <v>34</v>
      </c>
      <c r="B113" s="3" t="s">
        <v>952</v>
      </c>
      <c r="C113" s="77">
        <v>1015.6</v>
      </c>
      <c r="D113" s="78">
        <v>47</v>
      </c>
      <c r="E113" s="79">
        <v>1</v>
      </c>
      <c r="F113" s="108">
        <v>3826397.3000000003</v>
      </c>
      <c r="H113" s="6">
        <v>976.3</v>
      </c>
      <c r="I113" s="6">
        <v>36</v>
      </c>
      <c r="J113" s="6">
        <v>4454195.3999999994</v>
      </c>
    </row>
    <row r="114" spans="1:10" ht="20.25" x14ac:dyDescent="0.3">
      <c r="A114" s="4">
        <v>35</v>
      </c>
      <c r="B114" s="3" t="s">
        <v>958</v>
      </c>
      <c r="C114" s="77">
        <v>5979.1</v>
      </c>
      <c r="D114" s="78">
        <v>217</v>
      </c>
      <c r="E114" s="79">
        <v>1</v>
      </c>
      <c r="F114" s="108">
        <v>5858309.4800000004</v>
      </c>
      <c r="H114" s="6">
        <v>781.7</v>
      </c>
      <c r="I114" s="6">
        <v>25</v>
      </c>
      <c r="J114" s="6">
        <v>4839701.7600000007</v>
      </c>
    </row>
    <row r="115" spans="1:10" ht="20.25" x14ac:dyDescent="0.3">
      <c r="A115" s="4">
        <v>36</v>
      </c>
      <c r="B115" s="3" t="s">
        <v>985</v>
      </c>
      <c r="C115" s="77">
        <v>822.2</v>
      </c>
      <c r="D115" s="78">
        <v>34</v>
      </c>
      <c r="E115" s="79">
        <v>1</v>
      </c>
      <c r="F115" s="108">
        <v>3274450.4</v>
      </c>
      <c r="H115" s="6">
        <v>792.9</v>
      </c>
      <c r="I115" s="6">
        <v>42</v>
      </c>
      <c r="J115" s="6">
        <v>3231458.3</v>
      </c>
    </row>
    <row r="116" spans="1:10" ht="20.25" x14ac:dyDescent="0.3">
      <c r="A116" s="4">
        <v>37</v>
      </c>
      <c r="B116" s="3" t="s">
        <v>953</v>
      </c>
      <c r="C116" s="77">
        <v>5924.49</v>
      </c>
      <c r="D116" s="78">
        <v>259</v>
      </c>
      <c r="E116" s="79">
        <v>3</v>
      </c>
      <c r="F116" s="108">
        <v>12199052.439999999</v>
      </c>
      <c r="H116" s="6">
        <v>9443</v>
      </c>
      <c r="I116" s="6">
        <v>371</v>
      </c>
      <c r="J116" s="6">
        <v>16849360.93</v>
      </c>
    </row>
    <row r="117" spans="1:10" ht="20.25" x14ac:dyDescent="0.3">
      <c r="A117" s="4">
        <v>38</v>
      </c>
      <c r="B117" s="3" t="s">
        <v>954</v>
      </c>
      <c r="C117" s="77">
        <v>5889.36</v>
      </c>
      <c r="D117" s="78">
        <v>172</v>
      </c>
      <c r="E117" s="79">
        <v>1</v>
      </c>
      <c r="F117" s="108">
        <v>7408727.5099999998</v>
      </c>
      <c r="H117" s="6">
        <v>2168.41</v>
      </c>
      <c r="I117" s="6">
        <v>62</v>
      </c>
      <c r="J117" s="6">
        <v>3799734.79</v>
      </c>
    </row>
    <row r="118" spans="1:10" ht="20.25" x14ac:dyDescent="0.3">
      <c r="A118" s="4">
        <v>39</v>
      </c>
      <c r="B118" s="3" t="s">
        <v>955</v>
      </c>
      <c r="C118" s="77">
        <v>485.3</v>
      </c>
      <c r="D118" s="78">
        <v>24</v>
      </c>
      <c r="E118" s="79">
        <v>1</v>
      </c>
      <c r="F118" s="108">
        <v>2311215.4500000002</v>
      </c>
      <c r="H118" s="6">
        <v>780.3</v>
      </c>
      <c r="I118" s="6">
        <v>24</v>
      </c>
      <c r="J118" s="6">
        <v>2311215.4500000002</v>
      </c>
    </row>
    <row r="119" spans="1:10" ht="20.25" x14ac:dyDescent="0.3">
      <c r="A119" s="4">
        <v>40</v>
      </c>
      <c r="B119" s="3" t="s">
        <v>957</v>
      </c>
      <c r="C119" s="77">
        <v>4891.9000000000005</v>
      </c>
      <c r="D119" s="78">
        <v>172</v>
      </c>
      <c r="E119" s="79">
        <v>5</v>
      </c>
      <c r="F119" s="108">
        <v>16487311.32</v>
      </c>
      <c r="H119" s="6">
        <v>540.79999999999995</v>
      </c>
      <c r="I119" s="6">
        <v>15</v>
      </c>
      <c r="J119" s="6">
        <v>3215375.5700000003</v>
      </c>
    </row>
    <row r="120" spans="1:10" ht="20.25" x14ac:dyDescent="0.3">
      <c r="A120" s="4">
        <v>41</v>
      </c>
      <c r="B120" s="3" t="s">
        <v>959</v>
      </c>
      <c r="C120" s="77">
        <v>4053.7</v>
      </c>
      <c r="D120" s="78">
        <v>118</v>
      </c>
      <c r="E120" s="79">
        <v>2</v>
      </c>
      <c r="F120" s="108">
        <v>6032850.6600000001</v>
      </c>
      <c r="H120" s="6">
        <v>2550.6999999999998</v>
      </c>
      <c r="I120" s="6">
        <v>119</v>
      </c>
      <c r="J120" s="6">
        <v>10672314.84</v>
      </c>
    </row>
    <row r="121" spans="1:10" ht="20.25" x14ac:dyDescent="0.3">
      <c r="A121" s="4">
        <v>42</v>
      </c>
      <c r="B121" s="3" t="s">
        <v>986</v>
      </c>
      <c r="C121" s="77">
        <v>545.34</v>
      </c>
      <c r="D121" s="78">
        <v>22</v>
      </c>
      <c r="E121" s="79">
        <v>1</v>
      </c>
      <c r="F121" s="108">
        <v>1799918.22</v>
      </c>
      <c r="H121" s="6">
        <v>5727.7</v>
      </c>
      <c r="I121" s="6">
        <v>188</v>
      </c>
      <c r="J121" s="6">
        <v>6053192.4699999997</v>
      </c>
    </row>
    <row r="122" spans="1:10" ht="20.25" x14ac:dyDescent="0.3">
      <c r="A122" s="4">
        <v>43</v>
      </c>
      <c r="B122" s="3" t="s">
        <v>987</v>
      </c>
      <c r="C122" s="77">
        <v>2138.8000000000002</v>
      </c>
      <c r="D122" s="78">
        <v>56</v>
      </c>
      <c r="E122" s="79">
        <v>1</v>
      </c>
      <c r="F122" s="108">
        <v>3974620.0799999996</v>
      </c>
      <c r="H122" s="6">
        <v>1040.7</v>
      </c>
      <c r="I122" s="6">
        <v>44</v>
      </c>
      <c r="J122" s="6">
        <v>4804056</v>
      </c>
    </row>
    <row r="123" spans="1:10" ht="20.25" x14ac:dyDescent="0.3">
      <c r="A123" s="4">
        <v>44</v>
      </c>
      <c r="B123" s="3" t="s">
        <v>961</v>
      </c>
      <c r="C123" s="77">
        <v>1367.9</v>
      </c>
      <c r="D123" s="78">
        <v>64</v>
      </c>
      <c r="E123" s="79">
        <v>1</v>
      </c>
      <c r="F123" s="108">
        <v>2957808</v>
      </c>
      <c r="H123" s="6">
        <v>3554.5</v>
      </c>
      <c r="I123" s="6">
        <v>145</v>
      </c>
      <c r="J123" s="6">
        <v>7284801.9000000004</v>
      </c>
    </row>
    <row r="124" spans="1:10" ht="20.25" x14ac:dyDescent="0.3">
      <c r="A124" s="4">
        <v>45</v>
      </c>
      <c r="B124" s="3" t="s">
        <v>962</v>
      </c>
      <c r="C124" s="77">
        <v>2208.39</v>
      </c>
      <c r="D124" s="78">
        <v>74</v>
      </c>
      <c r="E124" s="79">
        <v>1</v>
      </c>
      <c r="F124" s="108">
        <v>4651054.3499999996</v>
      </c>
      <c r="H124" s="6">
        <v>2640.94</v>
      </c>
      <c r="I124" s="6">
        <v>88</v>
      </c>
      <c r="J124" s="6">
        <v>4011881.02</v>
      </c>
    </row>
    <row r="125" spans="1:10" ht="20.25" x14ac:dyDescent="0.3">
      <c r="A125" s="4">
        <v>46</v>
      </c>
      <c r="B125" s="3" t="s">
        <v>988</v>
      </c>
      <c r="C125" s="77">
        <v>1501</v>
      </c>
      <c r="D125" s="78">
        <v>32</v>
      </c>
      <c r="E125" s="79">
        <v>1</v>
      </c>
      <c r="F125" s="108">
        <v>3145116.58</v>
      </c>
      <c r="H125" s="6">
        <v>4173.7</v>
      </c>
      <c r="I125" s="6">
        <v>171</v>
      </c>
      <c r="J125" s="6">
        <v>6026117.5699999994</v>
      </c>
    </row>
    <row r="126" spans="1:10" ht="20.25" x14ac:dyDescent="0.3">
      <c r="A126" s="4">
        <v>47</v>
      </c>
      <c r="B126" s="3" t="s">
        <v>964</v>
      </c>
      <c r="C126" s="77">
        <v>13890.4</v>
      </c>
      <c r="D126" s="78">
        <v>506</v>
      </c>
      <c r="E126" s="79">
        <v>3</v>
      </c>
      <c r="F126" s="108">
        <v>13767321.040000001</v>
      </c>
      <c r="H126" s="6">
        <v>8514.9</v>
      </c>
      <c r="I126" s="6">
        <v>327</v>
      </c>
      <c r="J126" s="6">
        <v>12459674.15</v>
      </c>
    </row>
    <row r="127" spans="1:10" ht="20.25" x14ac:dyDescent="0.3">
      <c r="A127" s="4">
        <v>48</v>
      </c>
      <c r="B127" s="3" t="s">
        <v>965</v>
      </c>
      <c r="C127" s="77">
        <v>4401.9799999999996</v>
      </c>
      <c r="D127" s="78">
        <v>148</v>
      </c>
      <c r="E127" s="79">
        <v>2</v>
      </c>
      <c r="F127" s="108">
        <v>9023270.3999999985</v>
      </c>
      <c r="H127" s="6">
        <v>14680.3</v>
      </c>
      <c r="I127" s="6">
        <v>685</v>
      </c>
      <c r="J127" s="6">
        <v>13993215.270000001</v>
      </c>
    </row>
    <row r="128" spans="1:10" ht="20.25" x14ac:dyDescent="0.3">
      <c r="A128" s="4">
        <v>49</v>
      </c>
      <c r="B128" s="3" t="s">
        <v>967</v>
      </c>
      <c r="C128" s="77">
        <v>708.1</v>
      </c>
      <c r="D128" s="78">
        <v>43</v>
      </c>
      <c r="E128" s="79">
        <v>1</v>
      </c>
      <c r="F128" s="108">
        <v>3080862</v>
      </c>
      <c r="H128" s="6">
        <v>4947</v>
      </c>
      <c r="I128" s="6">
        <v>164</v>
      </c>
      <c r="J128" s="6">
        <v>9221698.8000000007</v>
      </c>
    </row>
    <row r="129" spans="1:10" ht="20.25" x14ac:dyDescent="0.3">
      <c r="A129" s="4">
        <v>50</v>
      </c>
      <c r="B129" s="3" t="s">
        <v>989</v>
      </c>
      <c r="C129" s="77">
        <v>788.3</v>
      </c>
      <c r="D129" s="78">
        <v>20</v>
      </c>
      <c r="E129" s="79">
        <v>1</v>
      </c>
      <c r="F129" s="108">
        <v>3655260</v>
      </c>
      <c r="H129" s="6">
        <v>726</v>
      </c>
      <c r="I129" s="6">
        <v>28</v>
      </c>
      <c r="J129" s="6">
        <v>3623929.1999999997</v>
      </c>
    </row>
    <row r="130" spans="1:10" ht="20.25" x14ac:dyDescent="0.3">
      <c r="A130" s="4">
        <v>51</v>
      </c>
      <c r="B130" s="3" t="s">
        <v>990</v>
      </c>
      <c r="C130" s="77">
        <v>707.1</v>
      </c>
      <c r="D130" s="78">
        <v>32</v>
      </c>
      <c r="E130" s="79">
        <v>1</v>
      </c>
      <c r="F130" s="108">
        <v>3080862</v>
      </c>
      <c r="H130" s="6">
        <v>675.9</v>
      </c>
      <c r="I130" s="6">
        <v>32</v>
      </c>
      <c r="J130" s="6">
        <v>3080862</v>
      </c>
    </row>
    <row r="131" spans="1:10" ht="20.25" x14ac:dyDescent="0.3">
      <c r="A131" s="4">
        <v>52</v>
      </c>
      <c r="B131" s="3" t="s">
        <v>969</v>
      </c>
      <c r="C131" s="77">
        <v>2386.1999999999998</v>
      </c>
      <c r="D131" s="78">
        <v>70</v>
      </c>
      <c r="E131" s="79">
        <v>3</v>
      </c>
      <c r="F131" s="108">
        <v>7774419.2400000002</v>
      </c>
      <c r="H131" s="6">
        <v>611.5</v>
      </c>
      <c r="I131" s="6">
        <v>28</v>
      </c>
      <c r="J131" s="6">
        <v>2610892.59</v>
      </c>
    </row>
    <row r="132" spans="1:10" ht="20.25" x14ac:dyDescent="0.3">
      <c r="A132" s="4">
        <v>53</v>
      </c>
      <c r="B132" s="3" t="s">
        <v>991</v>
      </c>
      <c r="C132" s="77">
        <v>834.7</v>
      </c>
      <c r="D132" s="78">
        <v>54</v>
      </c>
      <c r="E132" s="79">
        <v>1</v>
      </c>
      <c r="F132" s="108">
        <v>4275483</v>
      </c>
      <c r="H132" s="6">
        <v>789</v>
      </c>
      <c r="I132" s="6">
        <v>64</v>
      </c>
      <c r="J132" s="6">
        <v>3026194.08</v>
      </c>
    </row>
    <row r="133" spans="1:10" ht="20.25" x14ac:dyDescent="0.3">
      <c r="A133" s="4">
        <v>54</v>
      </c>
      <c r="B133" s="3" t="s">
        <v>973</v>
      </c>
      <c r="C133" s="77">
        <v>2424.8000000000002</v>
      </c>
      <c r="D133" s="78">
        <v>86</v>
      </c>
      <c r="E133" s="79">
        <v>2</v>
      </c>
      <c r="F133" s="108">
        <v>9113700</v>
      </c>
      <c r="H133" s="6">
        <v>351</v>
      </c>
      <c r="I133" s="6">
        <v>18</v>
      </c>
      <c r="J133" s="6">
        <v>3600600</v>
      </c>
    </row>
    <row r="134" spans="1:10" ht="20.25" x14ac:dyDescent="0.3">
      <c r="A134" s="4">
        <v>55</v>
      </c>
      <c r="B134" s="3" t="s">
        <v>974</v>
      </c>
      <c r="C134" s="77">
        <v>813.6</v>
      </c>
      <c r="D134" s="78">
        <v>16</v>
      </c>
      <c r="E134" s="79">
        <v>1</v>
      </c>
      <c r="F134" s="108">
        <v>3498600</v>
      </c>
      <c r="H134" s="6">
        <v>626</v>
      </c>
      <c r="I134" s="6">
        <v>23</v>
      </c>
      <c r="J134" s="6">
        <v>1917600</v>
      </c>
    </row>
    <row r="135" spans="1:10" ht="20.25" x14ac:dyDescent="0.3">
      <c r="A135" s="4">
        <v>56</v>
      </c>
      <c r="B135" s="3" t="s">
        <v>992</v>
      </c>
      <c r="C135" s="77">
        <v>791.9</v>
      </c>
      <c r="D135" s="78">
        <v>22</v>
      </c>
      <c r="E135" s="80">
        <v>1</v>
      </c>
      <c r="F135" s="108">
        <v>3230340</v>
      </c>
      <c r="H135" s="6">
        <v>4977.8</v>
      </c>
      <c r="I135" s="6">
        <v>158</v>
      </c>
      <c r="J135" s="6">
        <v>14392200</v>
      </c>
    </row>
    <row r="136" spans="1:10" ht="20.25" x14ac:dyDescent="0.3">
      <c r="A136" s="3" t="s">
        <v>780</v>
      </c>
      <c r="B136" s="12"/>
      <c r="C136" s="77">
        <f>SUM(C137:C194)</f>
        <v>517144.36000000004</v>
      </c>
      <c r="D136" s="78">
        <f>SUM(D137:D194)</f>
        <v>19617</v>
      </c>
      <c r="E136" s="78">
        <f>SUM(E137:E194)</f>
        <v>214</v>
      </c>
      <c r="F136" s="77">
        <f>SUM(F137:F194)</f>
        <v>791169161.75000012</v>
      </c>
      <c r="H136" s="6">
        <v>715.9</v>
      </c>
      <c r="I136" s="6">
        <v>16</v>
      </c>
      <c r="J136" s="6">
        <v>3396600</v>
      </c>
    </row>
    <row r="137" spans="1:10" ht="20.25" x14ac:dyDescent="0.3">
      <c r="A137" s="4">
        <v>1</v>
      </c>
      <c r="B137" s="3" t="s">
        <v>1013</v>
      </c>
      <c r="C137" s="77">
        <v>202528.28999999998</v>
      </c>
      <c r="D137" s="78">
        <v>8065</v>
      </c>
      <c r="E137" s="80">
        <v>59</v>
      </c>
      <c r="F137" s="108">
        <v>216853215.43000004</v>
      </c>
      <c r="H137" s="6">
        <v>209231.22999999995</v>
      </c>
      <c r="I137" s="6">
        <v>8552</v>
      </c>
      <c r="J137" s="6">
        <v>216853215.43000004</v>
      </c>
    </row>
    <row r="138" spans="1:10" ht="20.25" x14ac:dyDescent="0.3">
      <c r="A138" s="4">
        <v>2</v>
      </c>
      <c r="B138" s="3" t="s">
        <v>918</v>
      </c>
      <c r="C138" s="77">
        <v>15288.199999999999</v>
      </c>
      <c r="D138" s="78">
        <v>768</v>
      </c>
      <c r="E138" s="79">
        <v>14</v>
      </c>
      <c r="F138" s="108">
        <v>45048314.759999998</v>
      </c>
      <c r="H138" s="6">
        <v>15519.199999999999</v>
      </c>
      <c r="I138" s="6">
        <v>787</v>
      </c>
      <c r="J138" s="6">
        <v>45048314.759999998</v>
      </c>
    </row>
    <row r="139" spans="1:10" ht="20.25" x14ac:dyDescent="0.3">
      <c r="A139" s="4">
        <v>3</v>
      </c>
      <c r="B139" s="3" t="s">
        <v>919</v>
      </c>
      <c r="C139" s="77">
        <v>55301.200000000004</v>
      </c>
      <c r="D139" s="78">
        <v>2316</v>
      </c>
      <c r="E139" s="79">
        <v>27</v>
      </c>
      <c r="F139" s="108">
        <v>91626897.959999993</v>
      </c>
      <c r="H139" s="6">
        <v>55253.150000000009</v>
      </c>
      <c r="I139" s="6">
        <v>2316</v>
      </c>
      <c r="J139" s="6">
        <v>91626897.959999993</v>
      </c>
    </row>
    <row r="140" spans="1:10" ht="20.25" x14ac:dyDescent="0.3">
      <c r="A140" s="4">
        <v>4</v>
      </c>
      <c r="B140" s="111" t="s">
        <v>920</v>
      </c>
      <c r="C140" s="77">
        <v>28484.610000000004</v>
      </c>
      <c r="D140" s="78">
        <v>850</v>
      </c>
      <c r="E140" s="79">
        <v>11</v>
      </c>
      <c r="F140" s="108">
        <v>46315599.309999995</v>
      </c>
      <c r="H140" s="6">
        <v>26773.05</v>
      </c>
      <c r="I140" s="6">
        <v>869</v>
      </c>
      <c r="J140" s="6">
        <v>44137673.120000005</v>
      </c>
    </row>
    <row r="141" spans="1:10" ht="20.25" x14ac:dyDescent="0.3">
      <c r="A141" s="4">
        <v>5</v>
      </c>
      <c r="B141" s="3" t="s">
        <v>921</v>
      </c>
      <c r="C141" s="77">
        <v>13712.7</v>
      </c>
      <c r="D141" s="78">
        <v>336</v>
      </c>
      <c r="E141" s="79">
        <v>2</v>
      </c>
      <c r="F141" s="108">
        <v>21856214.649999999</v>
      </c>
      <c r="H141" s="6">
        <v>13712.7</v>
      </c>
      <c r="I141" s="6">
        <v>336</v>
      </c>
      <c r="J141" s="6">
        <v>21856214.650000002</v>
      </c>
    </row>
    <row r="142" spans="1:10" ht="20.25" x14ac:dyDescent="0.3">
      <c r="A142" s="4">
        <v>6</v>
      </c>
      <c r="B142" s="3" t="s">
        <v>922</v>
      </c>
      <c r="C142" s="77">
        <v>45915.810000000005</v>
      </c>
      <c r="D142" s="78">
        <v>1959</v>
      </c>
      <c r="E142" s="79">
        <v>8</v>
      </c>
      <c r="F142" s="108">
        <v>51679396.32</v>
      </c>
      <c r="H142" s="6">
        <v>45913.430000000008</v>
      </c>
      <c r="I142" s="6">
        <v>1959</v>
      </c>
      <c r="J142" s="6">
        <v>51679396.32</v>
      </c>
    </row>
    <row r="143" spans="1:10" ht="20.25" x14ac:dyDescent="0.3">
      <c r="A143" s="4">
        <v>7</v>
      </c>
      <c r="B143" s="3" t="s">
        <v>923</v>
      </c>
      <c r="C143" s="77">
        <v>10321.200000000001</v>
      </c>
      <c r="D143" s="78">
        <v>281</v>
      </c>
      <c r="E143" s="79">
        <v>3</v>
      </c>
      <c r="F143" s="108">
        <v>9890638.1399999987</v>
      </c>
      <c r="H143" s="6">
        <v>11170.900000000001</v>
      </c>
      <c r="I143" s="6">
        <v>305</v>
      </c>
      <c r="J143" s="6">
        <v>9890638.1399999987</v>
      </c>
    </row>
    <row r="144" spans="1:10" ht="20.25" x14ac:dyDescent="0.3">
      <c r="A144" s="4">
        <v>8</v>
      </c>
      <c r="B144" s="3" t="s">
        <v>924</v>
      </c>
      <c r="C144" s="77">
        <v>4408.6000000000004</v>
      </c>
      <c r="D144" s="78">
        <v>120</v>
      </c>
      <c r="E144" s="79">
        <v>2</v>
      </c>
      <c r="F144" s="108">
        <v>11422752.699999999</v>
      </c>
      <c r="H144" s="6">
        <v>4408.6000000000004</v>
      </c>
      <c r="I144" s="6">
        <v>120</v>
      </c>
      <c r="J144" s="6">
        <v>11422752.699999999</v>
      </c>
    </row>
    <row r="145" spans="1:10" ht="20.25" x14ac:dyDescent="0.3">
      <c r="A145" s="4">
        <v>9</v>
      </c>
      <c r="B145" s="3" t="s">
        <v>925</v>
      </c>
      <c r="C145" s="77">
        <v>6442.65</v>
      </c>
      <c r="D145" s="78">
        <v>188</v>
      </c>
      <c r="E145" s="79">
        <v>2</v>
      </c>
      <c r="F145" s="108">
        <v>8756823</v>
      </c>
      <c r="H145" s="6">
        <v>8897</v>
      </c>
      <c r="I145" s="6">
        <v>313</v>
      </c>
      <c r="J145" s="6">
        <v>9642280</v>
      </c>
    </row>
    <row r="146" spans="1:10" ht="20.25" x14ac:dyDescent="0.3">
      <c r="A146" s="4">
        <v>10</v>
      </c>
      <c r="B146" s="3" t="s">
        <v>926</v>
      </c>
      <c r="C146" s="77">
        <v>1801.1</v>
      </c>
      <c r="D146" s="78">
        <v>15</v>
      </c>
      <c r="E146" s="79">
        <v>1</v>
      </c>
      <c r="F146" s="108">
        <v>4369866.08</v>
      </c>
      <c r="H146" s="6">
        <v>804.5</v>
      </c>
      <c r="I146" s="6">
        <v>47</v>
      </c>
      <c r="J146" s="6">
        <v>4369866.08</v>
      </c>
    </row>
    <row r="147" spans="1:10" ht="20.25" x14ac:dyDescent="0.3">
      <c r="A147" s="4">
        <v>11</v>
      </c>
      <c r="B147" s="3" t="s">
        <v>927</v>
      </c>
      <c r="C147" s="77">
        <v>1070.8</v>
      </c>
      <c r="D147" s="78">
        <v>42</v>
      </c>
      <c r="E147" s="79">
        <v>1</v>
      </c>
      <c r="F147" s="108">
        <v>2936950.21</v>
      </c>
      <c r="H147" s="6">
        <v>1070.8</v>
      </c>
      <c r="I147" s="6">
        <v>42</v>
      </c>
      <c r="J147" s="6">
        <v>2936950.21</v>
      </c>
    </row>
    <row r="148" spans="1:10" ht="20.25" x14ac:dyDescent="0.3">
      <c r="A148" s="4">
        <v>12</v>
      </c>
      <c r="B148" s="3" t="s">
        <v>928</v>
      </c>
      <c r="C148" s="77">
        <v>1547.1</v>
      </c>
      <c r="D148" s="78">
        <v>72</v>
      </c>
      <c r="E148" s="79">
        <v>2</v>
      </c>
      <c r="F148" s="108">
        <v>2773728.46</v>
      </c>
      <c r="H148" s="6">
        <v>1426.8</v>
      </c>
      <c r="I148" s="6">
        <v>72</v>
      </c>
      <c r="J148" s="6">
        <v>2773728.46</v>
      </c>
    </row>
    <row r="149" spans="1:10" ht="20.25" x14ac:dyDescent="0.3">
      <c r="A149" s="4">
        <v>13</v>
      </c>
      <c r="B149" s="3" t="s">
        <v>929</v>
      </c>
      <c r="C149" s="77">
        <v>455.7</v>
      </c>
      <c r="D149" s="78">
        <v>26</v>
      </c>
      <c r="E149" s="79">
        <v>1</v>
      </c>
      <c r="F149" s="108">
        <v>2158336.3499999996</v>
      </c>
      <c r="H149" s="6">
        <v>456.6</v>
      </c>
      <c r="I149" s="6">
        <v>26</v>
      </c>
      <c r="J149" s="6">
        <v>2158336.3499999996</v>
      </c>
    </row>
    <row r="150" spans="1:10" ht="20.25" x14ac:dyDescent="0.3">
      <c r="A150" s="4">
        <v>14</v>
      </c>
      <c r="B150" s="3" t="s">
        <v>930</v>
      </c>
      <c r="C150" s="77">
        <v>3156.2</v>
      </c>
      <c r="D150" s="78">
        <v>156</v>
      </c>
      <c r="E150" s="79">
        <v>1</v>
      </c>
      <c r="F150" s="108">
        <v>2000000</v>
      </c>
      <c r="H150" s="6">
        <v>3374.6</v>
      </c>
      <c r="I150" s="6">
        <v>144</v>
      </c>
      <c r="J150" s="6">
        <v>2000000</v>
      </c>
    </row>
    <row r="151" spans="1:10" ht="20.25" x14ac:dyDescent="0.3">
      <c r="A151" s="4">
        <v>15</v>
      </c>
      <c r="B151" s="3" t="s">
        <v>931</v>
      </c>
      <c r="C151" s="77">
        <v>11855.599999999999</v>
      </c>
      <c r="D151" s="78">
        <v>299</v>
      </c>
      <c r="E151" s="79">
        <v>7</v>
      </c>
      <c r="F151" s="108">
        <v>23342011.919999998</v>
      </c>
      <c r="H151" s="6">
        <v>13638.6</v>
      </c>
      <c r="I151" s="6">
        <v>299</v>
      </c>
      <c r="J151" s="6">
        <v>23342011.919999998</v>
      </c>
    </row>
    <row r="152" spans="1:10" ht="20.25" x14ac:dyDescent="0.3">
      <c r="A152" s="4">
        <v>16</v>
      </c>
      <c r="B152" s="3" t="s">
        <v>932</v>
      </c>
      <c r="C152" s="77">
        <v>5829.2</v>
      </c>
      <c r="D152" s="78">
        <v>215</v>
      </c>
      <c r="E152" s="79">
        <v>2</v>
      </c>
      <c r="F152" s="108">
        <v>12591900</v>
      </c>
      <c r="H152" s="6">
        <v>5759.0999999999995</v>
      </c>
      <c r="I152" s="6">
        <v>215</v>
      </c>
      <c r="J152" s="6">
        <v>12591900</v>
      </c>
    </row>
    <row r="153" spans="1:10" ht="20.25" x14ac:dyDescent="0.3">
      <c r="A153" s="4">
        <v>17</v>
      </c>
      <c r="B153" s="3" t="s">
        <v>933</v>
      </c>
      <c r="C153" s="77">
        <v>396.2</v>
      </c>
      <c r="D153" s="78">
        <v>21</v>
      </c>
      <c r="E153" s="79">
        <v>1</v>
      </c>
      <c r="F153" s="108">
        <v>1724820</v>
      </c>
      <c r="H153" s="6">
        <v>396.2</v>
      </c>
      <c r="I153" s="6">
        <v>21</v>
      </c>
      <c r="J153" s="6">
        <v>1724820</v>
      </c>
    </row>
    <row r="154" spans="1:10" ht="20.25" x14ac:dyDescent="0.3">
      <c r="A154" s="4">
        <v>18</v>
      </c>
      <c r="B154" s="3" t="s">
        <v>934</v>
      </c>
      <c r="C154" s="77">
        <v>1011.8</v>
      </c>
      <c r="D154" s="78">
        <v>26</v>
      </c>
      <c r="E154" s="79">
        <v>1</v>
      </c>
      <c r="F154" s="108">
        <v>1739107.3499999999</v>
      </c>
      <c r="H154" s="6">
        <v>1011.8</v>
      </c>
      <c r="I154" s="6">
        <v>26</v>
      </c>
      <c r="J154" s="6">
        <v>1739107.3499999999</v>
      </c>
    </row>
    <row r="155" spans="1:10" ht="20.25" x14ac:dyDescent="0.3">
      <c r="A155" s="4">
        <v>19</v>
      </c>
      <c r="B155" s="3" t="s">
        <v>935</v>
      </c>
      <c r="C155" s="77">
        <v>594.20000000000005</v>
      </c>
      <c r="D155" s="78">
        <v>23</v>
      </c>
      <c r="E155" s="79">
        <v>1</v>
      </c>
      <c r="F155" s="108">
        <v>3373804.98</v>
      </c>
      <c r="H155" s="6">
        <v>594.20000000000005</v>
      </c>
      <c r="I155" s="6">
        <v>23</v>
      </c>
      <c r="J155" s="6">
        <v>3373804.98</v>
      </c>
    </row>
    <row r="156" spans="1:10" ht="20.25" x14ac:dyDescent="0.3">
      <c r="A156" s="4">
        <v>20</v>
      </c>
      <c r="B156" s="3" t="s">
        <v>936</v>
      </c>
      <c r="C156" s="77">
        <v>833.6</v>
      </c>
      <c r="D156" s="78">
        <v>32</v>
      </c>
      <c r="E156" s="79">
        <v>1</v>
      </c>
      <c r="F156" s="108">
        <v>3916350</v>
      </c>
      <c r="H156" s="6">
        <v>906.9</v>
      </c>
      <c r="I156" s="6">
        <v>32</v>
      </c>
      <c r="J156" s="6">
        <v>3916350</v>
      </c>
    </row>
    <row r="157" spans="1:10" ht="20.25" x14ac:dyDescent="0.3">
      <c r="A157" s="4">
        <v>21</v>
      </c>
      <c r="B157" s="3" t="s">
        <v>937</v>
      </c>
      <c r="C157" s="77">
        <v>2184</v>
      </c>
      <c r="D157" s="78">
        <v>57</v>
      </c>
      <c r="E157" s="79">
        <v>2</v>
      </c>
      <c r="F157" s="108">
        <v>3516578.96</v>
      </c>
      <c r="H157" s="6">
        <v>2184</v>
      </c>
      <c r="I157" s="6">
        <v>57</v>
      </c>
      <c r="J157" s="6">
        <v>3516578.96</v>
      </c>
    </row>
    <row r="158" spans="1:10" ht="20.25" x14ac:dyDescent="0.3">
      <c r="A158" s="4">
        <v>22</v>
      </c>
      <c r="B158" s="3" t="s">
        <v>938</v>
      </c>
      <c r="C158" s="77">
        <v>1069.5</v>
      </c>
      <c r="D158" s="78">
        <v>39</v>
      </c>
      <c r="E158" s="79">
        <v>1</v>
      </c>
      <c r="F158" s="108">
        <v>3598749.4899999998</v>
      </c>
      <c r="H158" s="6">
        <v>1069.5</v>
      </c>
      <c r="I158" s="6">
        <v>39</v>
      </c>
      <c r="J158" s="6">
        <v>3598749.4899999998</v>
      </c>
    </row>
    <row r="159" spans="1:10" ht="20.25" x14ac:dyDescent="0.3">
      <c r="A159" s="4">
        <v>23</v>
      </c>
      <c r="B159" s="3" t="s">
        <v>939</v>
      </c>
      <c r="C159" s="77">
        <v>630</v>
      </c>
      <c r="D159" s="78">
        <v>32</v>
      </c>
      <c r="E159" s="79">
        <v>1</v>
      </c>
      <c r="F159" s="108">
        <v>3488946.79</v>
      </c>
      <c r="H159" s="6">
        <v>630</v>
      </c>
      <c r="I159" s="6">
        <v>32</v>
      </c>
      <c r="J159" s="6">
        <v>3488946.79</v>
      </c>
    </row>
    <row r="160" spans="1:10" ht="20.25" x14ac:dyDescent="0.3">
      <c r="A160" s="4">
        <v>24</v>
      </c>
      <c r="B160" s="3" t="s">
        <v>940</v>
      </c>
      <c r="C160" s="77">
        <v>626.5</v>
      </c>
      <c r="D160" s="78">
        <v>23</v>
      </c>
      <c r="E160" s="79">
        <v>1</v>
      </c>
      <c r="F160" s="108">
        <v>1538879.17</v>
      </c>
      <c r="H160" s="6">
        <v>626.5</v>
      </c>
      <c r="I160" s="6">
        <v>23</v>
      </c>
      <c r="J160" s="6">
        <v>1538879.17</v>
      </c>
    </row>
    <row r="161" spans="1:10" ht="20.25" x14ac:dyDescent="0.3">
      <c r="A161" s="4">
        <v>25</v>
      </c>
      <c r="B161" s="3" t="s">
        <v>941</v>
      </c>
      <c r="C161" s="77">
        <v>14681.960000000001</v>
      </c>
      <c r="D161" s="78">
        <v>477</v>
      </c>
      <c r="E161" s="79">
        <v>6</v>
      </c>
      <c r="F161" s="108">
        <v>28415186.599999998</v>
      </c>
      <c r="H161" s="6">
        <v>20161.96</v>
      </c>
      <c r="I161" s="6">
        <v>621</v>
      </c>
      <c r="J161" s="6">
        <v>28415186.600000001</v>
      </c>
    </row>
    <row r="162" spans="1:10" ht="20.25" x14ac:dyDescent="0.3">
      <c r="A162" s="4">
        <v>26</v>
      </c>
      <c r="B162" s="3" t="s">
        <v>942</v>
      </c>
      <c r="C162" s="77">
        <v>1573</v>
      </c>
      <c r="D162" s="78">
        <v>68</v>
      </c>
      <c r="E162" s="79">
        <v>2</v>
      </c>
      <c r="F162" s="108">
        <v>5777967.8699999992</v>
      </c>
      <c r="H162" s="6">
        <v>1573</v>
      </c>
      <c r="I162" s="6">
        <v>68</v>
      </c>
      <c r="J162" s="6">
        <v>5777967.8699999992</v>
      </c>
    </row>
    <row r="163" spans="1:10" ht="20.25" x14ac:dyDescent="0.3">
      <c r="A163" s="4">
        <v>27</v>
      </c>
      <c r="B163" s="3" t="s">
        <v>943</v>
      </c>
      <c r="C163" s="77">
        <v>1266.2</v>
      </c>
      <c r="D163" s="78">
        <v>52</v>
      </c>
      <c r="E163" s="79">
        <v>3</v>
      </c>
      <c r="F163" s="108">
        <v>4715781.71</v>
      </c>
      <c r="H163" s="6">
        <v>1266.2</v>
      </c>
      <c r="I163" s="6">
        <v>52</v>
      </c>
      <c r="J163" s="6">
        <v>4715781.71</v>
      </c>
    </row>
    <row r="164" spans="1:10" ht="20.25" x14ac:dyDescent="0.3">
      <c r="A164" s="4">
        <v>28</v>
      </c>
      <c r="B164" s="3" t="s">
        <v>944</v>
      </c>
      <c r="C164" s="77">
        <v>703.5</v>
      </c>
      <c r="D164" s="78">
        <v>36</v>
      </c>
      <c r="E164" s="79">
        <v>2</v>
      </c>
      <c r="F164" s="108">
        <v>2590114.16</v>
      </c>
      <c r="H164" s="6">
        <v>703.5</v>
      </c>
      <c r="I164" s="6">
        <v>36</v>
      </c>
      <c r="J164" s="6">
        <v>2590114.16</v>
      </c>
    </row>
    <row r="165" spans="1:10" ht="20.25" x14ac:dyDescent="0.3">
      <c r="A165" s="4">
        <v>29</v>
      </c>
      <c r="B165" s="3" t="s">
        <v>945</v>
      </c>
      <c r="C165" s="77">
        <v>1217.2</v>
      </c>
      <c r="D165" s="78">
        <v>47</v>
      </c>
      <c r="E165" s="79">
        <v>1</v>
      </c>
      <c r="F165" s="108">
        <v>1456533.11</v>
      </c>
      <c r="H165" s="6">
        <v>1217.2</v>
      </c>
      <c r="I165" s="6">
        <v>47</v>
      </c>
      <c r="J165" s="6">
        <v>1456533.11</v>
      </c>
    </row>
    <row r="166" spans="1:10" ht="20.25" x14ac:dyDescent="0.3">
      <c r="A166" s="4">
        <v>30</v>
      </c>
      <c r="B166" s="3" t="s">
        <v>946</v>
      </c>
      <c r="C166" s="77">
        <v>1774</v>
      </c>
      <c r="D166" s="78">
        <v>80</v>
      </c>
      <c r="E166" s="79">
        <v>3</v>
      </c>
      <c r="F166" s="108">
        <v>10290828.25</v>
      </c>
      <c r="H166" s="6">
        <v>1774</v>
      </c>
      <c r="I166" s="6">
        <v>80</v>
      </c>
      <c r="J166" s="6">
        <v>10290828.25</v>
      </c>
    </row>
    <row r="167" spans="1:10" ht="20.25" x14ac:dyDescent="0.3">
      <c r="A167" s="4">
        <v>31</v>
      </c>
      <c r="B167" s="3" t="s">
        <v>947</v>
      </c>
      <c r="C167" s="77">
        <v>609</v>
      </c>
      <c r="D167" s="78">
        <v>31</v>
      </c>
      <c r="E167" s="79">
        <v>1</v>
      </c>
      <c r="F167" s="108">
        <v>3013803.8600000003</v>
      </c>
      <c r="H167" s="6">
        <v>609</v>
      </c>
      <c r="I167" s="6">
        <v>31</v>
      </c>
      <c r="J167" s="6">
        <v>3013803.8600000003</v>
      </c>
    </row>
    <row r="168" spans="1:10" ht="20.25" x14ac:dyDescent="0.3">
      <c r="A168" s="4">
        <v>32</v>
      </c>
      <c r="B168" s="3" t="s">
        <v>948</v>
      </c>
      <c r="C168" s="77">
        <v>616.20000000000005</v>
      </c>
      <c r="D168" s="78">
        <v>21</v>
      </c>
      <c r="E168" s="79">
        <v>1</v>
      </c>
      <c r="F168" s="108">
        <v>2036502</v>
      </c>
      <c r="H168" s="6">
        <v>616</v>
      </c>
      <c r="I168" s="6">
        <v>21</v>
      </c>
      <c r="J168" s="6">
        <v>2036502</v>
      </c>
    </row>
    <row r="169" spans="1:10" ht="20.25" x14ac:dyDescent="0.3">
      <c r="A169" s="4">
        <v>33</v>
      </c>
      <c r="B169" s="3" t="s">
        <v>949</v>
      </c>
      <c r="C169" s="77">
        <v>772.9</v>
      </c>
      <c r="D169" s="78">
        <v>32</v>
      </c>
      <c r="E169" s="79">
        <v>1</v>
      </c>
      <c r="F169" s="108">
        <v>3592598.4</v>
      </c>
      <c r="H169" s="6">
        <v>772.9</v>
      </c>
      <c r="I169" s="6">
        <v>32</v>
      </c>
      <c r="J169" s="6">
        <v>3592598.4</v>
      </c>
    </row>
    <row r="170" spans="1:10" ht="20.25" x14ac:dyDescent="0.3">
      <c r="A170" s="4">
        <v>34</v>
      </c>
      <c r="B170" s="3" t="s">
        <v>950</v>
      </c>
      <c r="C170" s="77">
        <v>976.3</v>
      </c>
      <c r="D170" s="78">
        <v>36</v>
      </c>
      <c r="E170" s="79">
        <v>1</v>
      </c>
      <c r="F170" s="108">
        <v>4454195.3999999994</v>
      </c>
      <c r="H170" s="6">
        <v>976.3</v>
      </c>
      <c r="I170" s="6">
        <v>36</v>
      </c>
      <c r="J170" s="6">
        <v>4454195.3999999994</v>
      </c>
    </row>
    <row r="171" spans="1:10" ht="20.25" x14ac:dyDescent="0.3">
      <c r="A171" s="4">
        <v>35</v>
      </c>
      <c r="B171" s="3" t="s">
        <v>951</v>
      </c>
      <c r="C171" s="77">
        <v>781.7</v>
      </c>
      <c r="D171" s="78">
        <v>25</v>
      </c>
      <c r="E171" s="79">
        <v>1</v>
      </c>
      <c r="F171" s="108">
        <v>4839701.7600000007</v>
      </c>
      <c r="H171" s="6">
        <v>781.7</v>
      </c>
      <c r="I171" s="6">
        <v>25</v>
      </c>
      <c r="J171" s="6">
        <v>4839701.7600000007</v>
      </c>
    </row>
    <row r="172" spans="1:10" ht="20.25" x14ac:dyDescent="0.3">
      <c r="A172" s="4">
        <v>36</v>
      </c>
      <c r="B172" s="3" t="s">
        <v>952</v>
      </c>
      <c r="C172" s="77">
        <v>736.7</v>
      </c>
      <c r="D172" s="78">
        <v>42</v>
      </c>
      <c r="E172" s="79">
        <v>1</v>
      </c>
      <c r="F172" s="108">
        <v>3231458.3</v>
      </c>
      <c r="H172" s="6">
        <v>792.9</v>
      </c>
      <c r="I172" s="6">
        <v>42</v>
      </c>
      <c r="J172" s="6">
        <v>3231458.3</v>
      </c>
    </row>
    <row r="173" spans="1:10" ht="20.25" x14ac:dyDescent="0.3">
      <c r="A173" s="4">
        <v>37</v>
      </c>
      <c r="B173" s="3" t="s">
        <v>953</v>
      </c>
      <c r="C173" s="77">
        <v>9352.4</v>
      </c>
      <c r="D173" s="78">
        <v>371</v>
      </c>
      <c r="E173" s="79">
        <v>3</v>
      </c>
      <c r="F173" s="108">
        <v>16849360.93</v>
      </c>
      <c r="H173" s="6">
        <v>9443</v>
      </c>
      <c r="I173" s="6">
        <v>371</v>
      </c>
      <c r="J173" s="6">
        <v>16849360.93</v>
      </c>
    </row>
    <row r="174" spans="1:10" ht="20.25" x14ac:dyDescent="0.3">
      <c r="A174" s="4">
        <v>38</v>
      </c>
      <c r="B174" s="3" t="s">
        <v>954</v>
      </c>
      <c r="C174" s="77">
        <v>2168.41</v>
      </c>
      <c r="D174" s="78">
        <v>62</v>
      </c>
      <c r="E174" s="79">
        <v>1</v>
      </c>
      <c r="F174" s="108">
        <v>3799734.79</v>
      </c>
      <c r="H174" s="6">
        <v>2168.41</v>
      </c>
      <c r="I174" s="6">
        <v>62</v>
      </c>
      <c r="J174" s="6">
        <v>3799734.79</v>
      </c>
    </row>
    <row r="175" spans="1:10" ht="20.25" x14ac:dyDescent="0.3">
      <c r="A175" s="4">
        <v>39</v>
      </c>
      <c r="B175" s="3" t="s">
        <v>955</v>
      </c>
      <c r="C175" s="77">
        <v>780.3</v>
      </c>
      <c r="D175" s="78">
        <v>24</v>
      </c>
      <c r="E175" s="79">
        <v>1</v>
      </c>
      <c r="F175" s="108">
        <v>2311215.4500000002</v>
      </c>
      <c r="H175" s="6">
        <v>780.3</v>
      </c>
      <c r="I175" s="6">
        <v>24</v>
      </c>
      <c r="J175" s="6">
        <v>2311215.4500000002</v>
      </c>
    </row>
    <row r="176" spans="1:10" ht="20.25" x14ac:dyDescent="0.3">
      <c r="A176" s="4">
        <v>40</v>
      </c>
      <c r="B176" s="3" t="s">
        <v>956</v>
      </c>
      <c r="C176" s="77">
        <v>540.79999999999995</v>
      </c>
      <c r="D176" s="78">
        <v>15</v>
      </c>
      <c r="E176" s="79">
        <v>1</v>
      </c>
      <c r="F176" s="108">
        <v>3215375.5700000003</v>
      </c>
      <c r="H176" s="6">
        <v>540.79999999999995</v>
      </c>
      <c r="I176" s="6">
        <v>15</v>
      </c>
      <c r="J176" s="6">
        <v>3215375.5700000003</v>
      </c>
    </row>
    <row r="177" spans="1:10" ht="20.25" x14ac:dyDescent="0.3">
      <c r="A177" s="4">
        <v>41</v>
      </c>
      <c r="B177" s="3" t="s">
        <v>957</v>
      </c>
      <c r="C177" s="77">
        <v>2550.6999999999998</v>
      </c>
      <c r="D177" s="78">
        <v>119</v>
      </c>
      <c r="E177" s="79">
        <v>3</v>
      </c>
      <c r="F177" s="108">
        <v>10672314.84</v>
      </c>
      <c r="H177" s="6">
        <v>2550.6999999999998</v>
      </c>
      <c r="I177" s="6">
        <v>119</v>
      </c>
      <c r="J177" s="6">
        <v>10672314.84</v>
      </c>
    </row>
    <row r="178" spans="1:10" ht="20.25" x14ac:dyDescent="0.3">
      <c r="A178" s="4">
        <v>42</v>
      </c>
      <c r="B178" s="3" t="s">
        <v>958</v>
      </c>
      <c r="C178" s="77">
        <v>5523</v>
      </c>
      <c r="D178" s="78">
        <v>208</v>
      </c>
      <c r="E178" s="79">
        <v>1</v>
      </c>
      <c r="F178" s="108">
        <v>3912770.8299999996</v>
      </c>
      <c r="H178" s="6">
        <v>5727.7</v>
      </c>
      <c r="I178" s="6">
        <v>188</v>
      </c>
      <c r="J178" s="6">
        <v>6053192.4699999997</v>
      </c>
    </row>
    <row r="179" spans="1:10" ht="20.25" x14ac:dyDescent="0.3">
      <c r="A179" s="4">
        <v>43</v>
      </c>
      <c r="B179" s="3" t="s">
        <v>959</v>
      </c>
      <c r="C179" s="77">
        <v>1046.8</v>
      </c>
      <c r="D179" s="78">
        <v>44</v>
      </c>
      <c r="E179" s="79">
        <v>1</v>
      </c>
      <c r="F179" s="108">
        <v>4804056</v>
      </c>
      <c r="H179" s="6">
        <v>1040.7</v>
      </c>
      <c r="I179" s="6">
        <v>44</v>
      </c>
      <c r="J179" s="6">
        <v>4804056</v>
      </c>
    </row>
    <row r="180" spans="1:10" ht="20.25" x14ac:dyDescent="0.3">
      <c r="A180" s="4">
        <v>44</v>
      </c>
      <c r="B180" s="3" t="s">
        <v>960</v>
      </c>
      <c r="C180" s="77">
        <v>3554.5</v>
      </c>
      <c r="D180" s="78">
        <v>145</v>
      </c>
      <c r="E180" s="79">
        <v>1</v>
      </c>
      <c r="F180" s="108">
        <v>7284801.9000000004</v>
      </c>
      <c r="H180" s="6">
        <v>3554.5</v>
      </c>
      <c r="I180" s="6">
        <v>145</v>
      </c>
      <c r="J180" s="6">
        <v>7284801.9000000004</v>
      </c>
    </row>
    <row r="181" spans="1:10" ht="20.25" x14ac:dyDescent="0.3">
      <c r="A181" s="4">
        <v>45</v>
      </c>
      <c r="B181" s="3" t="s">
        <v>961</v>
      </c>
      <c r="C181" s="77">
        <v>2640.94</v>
      </c>
      <c r="D181" s="78">
        <v>88</v>
      </c>
      <c r="E181" s="79">
        <v>2</v>
      </c>
      <c r="F181" s="108">
        <v>4011881.02</v>
      </c>
      <c r="H181" s="6">
        <v>2640.94</v>
      </c>
      <c r="I181" s="6">
        <v>88</v>
      </c>
      <c r="J181" s="6">
        <v>4011881.02</v>
      </c>
    </row>
    <row r="182" spans="1:10" ht="20.25" x14ac:dyDescent="0.3">
      <c r="A182" s="4">
        <v>46</v>
      </c>
      <c r="B182" s="3" t="s">
        <v>962</v>
      </c>
      <c r="C182" s="77">
        <v>4173.3999999999996</v>
      </c>
      <c r="D182" s="78">
        <v>171</v>
      </c>
      <c r="E182" s="79">
        <v>2</v>
      </c>
      <c r="F182" s="108">
        <v>6026117.5699999994</v>
      </c>
      <c r="H182" s="6">
        <v>4173.7</v>
      </c>
      <c r="I182" s="6">
        <v>171</v>
      </c>
      <c r="J182" s="6">
        <v>6026117.5699999994</v>
      </c>
    </row>
    <row r="183" spans="1:10" ht="20.25" x14ac:dyDescent="0.3">
      <c r="A183" s="4">
        <v>47</v>
      </c>
      <c r="B183" s="3" t="s">
        <v>963</v>
      </c>
      <c r="C183" s="77">
        <v>13642.179999999998</v>
      </c>
      <c r="D183" s="78">
        <v>327</v>
      </c>
      <c r="E183" s="79">
        <v>3</v>
      </c>
      <c r="F183" s="108">
        <v>12459674.15</v>
      </c>
      <c r="H183" s="6">
        <v>8514.9</v>
      </c>
      <c r="I183" s="6">
        <v>327</v>
      </c>
      <c r="J183" s="6">
        <v>12459674.15</v>
      </c>
    </row>
    <row r="184" spans="1:10" ht="20.25" x14ac:dyDescent="0.3">
      <c r="A184" s="4">
        <v>48</v>
      </c>
      <c r="B184" s="3" t="s">
        <v>964</v>
      </c>
      <c r="C184" s="77">
        <v>13231.8</v>
      </c>
      <c r="D184" s="78">
        <v>565</v>
      </c>
      <c r="E184" s="79">
        <v>4</v>
      </c>
      <c r="F184" s="108">
        <v>11707868.220000001</v>
      </c>
      <c r="H184" s="6">
        <v>14680.3</v>
      </c>
      <c r="I184" s="6">
        <v>685</v>
      </c>
      <c r="J184" s="6">
        <v>13993215.270000001</v>
      </c>
    </row>
    <row r="185" spans="1:10" ht="20.25" x14ac:dyDescent="0.3">
      <c r="A185" s="4">
        <v>49</v>
      </c>
      <c r="B185" s="3" t="s">
        <v>965</v>
      </c>
      <c r="C185" s="77">
        <v>5101.2</v>
      </c>
      <c r="D185" s="78">
        <v>164</v>
      </c>
      <c r="E185" s="79">
        <v>2</v>
      </c>
      <c r="F185" s="108">
        <v>9221698.8000000007</v>
      </c>
      <c r="H185" s="6">
        <v>4947</v>
      </c>
      <c r="I185" s="6">
        <v>164</v>
      </c>
      <c r="J185" s="6">
        <v>9221698.8000000007</v>
      </c>
    </row>
    <row r="186" spans="1:10" ht="20.25" x14ac:dyDescent="0.3">
      <c r="A186" s="4">
        <v>50</v>
      </c>
      <c r="B186" s="3" t="s">
        <v>966</v>
      </c>
      <c r="C186" s="77">
        <v>783.81</v>
      </c>
      <c r="D186" s="78">
        <v>28</v>
      </c>
      <c r="E186" s="79">
        <v>1</v>
      </c>
      <c r="F186" s="108">
        <v>3623929.1999999997</v>
      </c>
      <c r="H186" s="6">
        <v>726</v>
      </c>
      <c r="I186" s="6">
        <v>28</v>
      </c>
      <c r="J186" s="6">
        <v>3623929.1999999997</v>
      </c>
    </row>
    <row r="187" spans="1:10" ht="20.25" x14ac:dyDescent="0.3">
      <c r="A187" s="4">
        <v>51</v>
      </c>
      <c r="B187" s="3" t="s">
        <v>967</v>
      </c>
      <c r="C187" s="77">
        <v>680.2</v>
      </c>
      <c r="D187" s="78">
        <v>32</v>
      </c>
      <c r="E187" s="79">
        <v>1</v>
      </c>
      <c r="F187" s="108">
        <v>3080862</v>
      </c>
      <c r="H187" s="6">
        <v>675.9</v>
      </c>
      <c r="I187" s="6">
        <v>32</v>
      </c>
      <c r="J187" s="6">
        <v>3080862</v>
      </c>
    </row>
    <row r="188" spans="1:10" ht="20.25" x14ac:dyDescent="0.3">
      <c r="A188" s="4">
        <v>52</v>
      </c>
      <c r="B188" s="3" t="s">
        <v>968</v>
      </c>
      <c r="C188" s="77">
        <v>646.4</v>
      </c>
      <c r="D188" s="78">
        <v>28</v>
      </c>
      <c r="E188" s="79">
        <v>2</v>
      </c>
      <c r="F188" s="108">
        <v>2610892.59</v>
      </c>
      <c r="H188" s="6">
        <v>611.5</v>
      </c>
      <c r="I188" s="6">
        <v>28</v>
      </c>
      <c r="J188" s="6">
        <v>2610892.59</v>
      </c>
    </row>
    <row r="189" spans="1:10" ht="20.25" x14ac:dyDescent="0.3">
      <c r="A189" s="4">
        <v>53</v>
      </c>
      <c r="B189" s="3" t="s">
        <v>969</v>
      </c>
      <c r="C189" s="77">
        <v>2009.6000000000001</v>
      </c>
      <c r="D189" s="78">
        <v>77</v>
      </c>
      <c r="E189" s="79">
        <v>3</v>
      </c>
      <c r="F189" s="108">
        <v>6332416.4000000004</v>
      </c>
      <c r="H189" s="6">
        <v>2373.5</v>
      </c>
      <c r="I189" s="6">
        <v>77</v>
      </c>
      <c r="J189" s="6">
        <v>6332416.4000000004</v>
      </c>
    </row>
    <row r="190" spans="1:10" ht="20.25" x14ac:dyDescent="0.3">
      <c r="A190" s="4">
        <v>54</v>
      </c>
      <c r="B190" s="3" t="s">
        <v>970</v>
      </c>
      <c r="C190" s="77">
        <v>814.6</v>
      </c>
      <c r="D190" s="78">
        <v>26</v>
      </c>
      <c r="E190" s="79">
        <v>1</v>
      </c>
      <c r="F190" s="108">
        <v>4686244.08</v>
      </c>
      <c r="H190" s="6">
        <v>789</v>
      </c>
      <c r="I190" s="6">
        <v>64</v>
      </c>
      <c r="J190" s="6">
        <v>3026194.08</v>
      </c>
    </row>
    <row r="191" spans="1:10" ht="20.25" x14ac:dyDescent="0.3">
      <c r="A191" s="4">
        <v>55</v>
      </c>
      <c r="B191" s="3" t="s">
        <v>971</v>
      </c>
      <c r="C191" s="77">
        <v>350.9</v>
      </c>
      <c r="D191" s="78">
        <v>18</v>
      </c>
      <c r="E191" s="79">
        <v>1</v>
      </c>
      <c r="F191" s="108">
        <v>3600600</v>
      </c>
      <c r="H191" s="6">
        <v>351</v>
      </c>
      <c r="I191" s="6">
        <v>18</v>
      </c>
      <c r="J191" s="6">
        <v>3600600</v>
      </c>
    </row>
    <row r="192" spans="1:10" ht="20.25" x14ac:dyDescent="0.3">
      <c r="A192" s="4">
        <v>56</v>
      </c>
      <c r="B192" s="3" t="s">
        <v>972</v>
      </c>
      <c r="C192" s="77">
        <v>626</v>
      </c>
      <c r="D192" s="78">
        <v>23</v>
      </c>
      <c r="E192" s="79">
        <v>1</v>
      </c>
      <c r="F192" s="108">
        <v>2233993.96</v>
      </c>
      <c r="H192" s="6">
        <v>626</v>
      </c>
      <c r="I192" s="6">
        <v>23</v>
      </c>
      <c r="J192" s="6">
        <v>1917600</v>
      </c>
    </row>
    <row r="193" spans="1:10" ht="20.25" x14ac:dyDescent="0.3">
      <c r="A193" s="4">
        <v>57</v>
      </c>
      <c r="B193" s="3" t="s">
        <v>973</v>
      </c>
      <c r="C193" s="77">
        <v>4977.8</v>
      </c>
      <c r="D193" s="78">
        <v>158</v>
      </c>
      <c r="E193" s="79">
        <v>3</v>
      </c>
      <c r="F193" s="108">
        <v>14392200</v>
      </c>
      <c r="H193" s="6">
        <v>4977.8</v>
      </c>
      <c r="I193" s="6">
        <v>158</v>
      </c>
      <c r="J193" s="6">
        <v>14392200</v>
      </c>
    </row>
    <row r="194" spans="1:10" ht="20.25" x14ac:dyDescent="0.3">
      <c r="A194" s="4">
        <v>58</v>
      </c>
      <c r="B194" s="3" t="s">
        <v>974</v>
      </c>
      <c r="C194" s="77">
        <v>775.2</v>
      </c>
      <c r="D194" s="78">
        <v>16</v>
      </c>
      <c r="E194" s="79">
        <v>1</v>
      </c>
      <c r="F194" s="108">
        <v>3396600</v>
      </c>
      <c r="H194" s="6">
        <v>715.9</v>
      </c>
      <c r="I194" s="6">
        <v>16</v>
      </c>
      <c r="J194" s="6">
        <v>3396600</v>
      </c>
    </row>
  </sheetData>
  <mergeCells count="9">
    <mergeCell ref="E1:F1"/>
    <mergeCell ref="D2:F2"/>
    <mergeCell ref="A3:F4"/>
    <mergeCell ref="A5:A8"/>
    <mergeCell ref="B5:B8"/>
    <mergeCell ref="C5:C7"/>
    <mergeCell ref="D5:D7"/>
    <mergeCell ref="E5:E7"/>
    <mergeCell ref="F5:F7"/>
  </mergeCells>
  <pageMargins left="0" right="0" top="0.39370078740157483" bottom="0" header="0" footer="0"/>
  <pageSetup paperSize="9" scale="51" fitToHeight="0" orientation="portrait" r:id="rId1"/>
  <headerFooter differentFirst="1">
    <oddHeader>&amp;C&amp;"Times New Roman,обычный"&amp;P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97"/>
  <sheetViews>
    <sheetView topLeftCell="B1" zoomScale="20" zoomScaleNormal="20" workbookViewId="0">
      <selection activeCell="D31" sqref="D31"/>
    </sheetView>
  </sheetViews>
  <sheetFormatPr defaultRowHeight="15" x14ac:dyDescent="0.25"/>
  <cols>
    <col min="1" max="1" width="9.140625" style="6" hidden="1" customWidth="1"/>
    <col min="2" max="2" width="26.42578125" style="6" customWidth="1"/>
    <col min="3" max="3" width="242.7109375" style="6" customWidth="1"/>
    <col min="4" max="4" width="58.85546875" style="6" customWidth="1"/>
    <col min="5" max="5" width="72.140625" style="6" customWidth="1"/>
    <col min="6" max="6" width="53.5703125" style="6" customWidth="1"/>
    <col min="7" max="9" width="54.28515625" style="6" customWidth="1"/>
    <col min="10" max="10" width="49.28515625" style="6" customWidth="1"/>
    <col min="11" max="11" width="52.85546875" style="6" customWidth="1"/>
    <col min="12" max="12" width="47.85546875" style="6" customWidth="1"/>
    <col min="13" max="13" width="40.140625" style="65" customWidth="1"/>
    <col min="14" max="14" width="44.42578125" style="6" customWidth="1"/>
    <col min="15" max="15" width="43.7109375" style="6" customWidth="1"/>
    <col min="16" max="16" width="58.5703125" style="6" customWidth="1"/>
    <col min="17" max="17" width="41.42578125" style="6" customWidth="1"/>
    <col min="18" max="18" width="42.5703125" style="6" customWidth="1"/>
    <col min="19" max="19" width="43.85546875" style="6" customWidth="1"/>
    <col min="20" max="20" width="60.28515625" style="6" customWidth="1"/>
    <col min="21" max="21" width="35.42578125" style="6" customWidth="1"/>
    <col min="22" max="22" width="49.140625" style="6" customWidth="1"/>
    <col min="23" max="23" width="34.28515625" style="6" customWidth="1"/>
    <col min="24" max="24" width="58" style="6" customWidth="1"/>
    <col min="25" max="25" width="66.28515625" style="6" customWidth="1"/>
    <col min="26" max="26" width="51.85546875" style="6" customWidth="1"/>
    <col min="27" max="27" width="41.42578125" style="6" customWidth="1"/>
    <col min="28" max="28" width="69" style="6" customWidth="1"/>
    <col min="29" max="29" width="96.7109375" style="6" customWidth="1"/>
    <col min="30" max="30" width="55.28515625" style="6" customWidth="1"/>
    <col min="31" max="32" width="51" style="6" customWidth="1"/>
    <col min="33" max="33" width="63.28515625" style="6" customWidth="1"/>
    <col min="34" max="34" width="38.140625" style="6" customWidth="1"/>
    <col min="35" max="35" width="41.7109375" style="6" customWidth="1"/>
    <col min="36" max="36" width="36.7109375" style="6" customWidth="1"/>
    <col min="37" max="16384" width="9.140625" style="6"/>
  </cols>
  <sheetData>
    <row r="1" spans="1:36" ht="90" x14ac:dyDescent="1.1499999999999999">
      <c r="B1" s="241" t="s">
        <v>1006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</row>
    <row r="2" spans="1:36" ht="90" x14ac:dyDescent="0.25">
      <c r="B2" s="242" t="s">
        <v>1045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</row>
    <row r="3" spans="1:36" ht="76.5" x14ac:dyDescent="1.05">
      <c r="B3" s="61" t="s">
        <v>1008</v>
      </c>
      <c r="C3" s="243" t="s">
        <v>1046</v>
      </c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</row>
    <row r="4" spans="1:36" ht="76.5" x14ac:dyDescent="0.25">
      <c r="B4" s="61" t="s">
        <v>1009</v>
      </c>
      <c r="C4" s="244" t="s">
        <v>1035</v>
      </c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</row>
    <row r="5" spans="1:36" ht="45.75" x14ac:dyDescent="0.25">
      <c r="B5" s="186" t="s">
        <v>6</v>
      </c>
      <c r="C5" s="186" t="s">
        <v>7</v>
      </c>
      <c r="D5" s="186" t="s">
        <v>1036</v>
      </c>
      <c r="E5" s="245" t="s">
        <v>1037</v>
      </c>
      <c r="F5" s="248" t="s">
        <v>8</v>
      </c>
      <c r="G5" s="186" t="s">
        <v>1012</v>
      </c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251" t="s">
        <v>9</v>
      </c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34" t="s">
        <v>10</v>
      </c>
      <c r="AI5" s="234" t="s">
        <v>11</v>
      </c>
      <c r="AJ5" s="234" t="s">
        <v>12</v>
      </c>
    </row>
    <row r="6" spans="1:36" ht="45.75" x14ac:dyDescent="0.25">
      <c r="B6" s="186"/>
      <c r="C6" s="186"/>
      <c r="D6" s="186"/>
      <c r="E6" s="246"/>
      <c r="F6" s="249"/>
      <c r="G6" s="186" t="s">
        <v>13</v>
      </c>
      <c r="H6" s="186"/>
      <c r="I6" s="186"/>
      <c r="J6" s="186"/>
      <c r="K6" s="186"/>
      <c r="L6" s="186"/>
      <c r="M6" s="237" t="s">
        <v>14</v>
      </c>
      <c r="N6" s="238"/>
      <c r="O6" s="237" t="s">
        <v>15</v>
      </c>
      <c r="P6" s="238"/>
      <c r="Q6" s="237" t="s">
        <v>16</v>
      </c>
      <c r="R6" s="238"/>
      <c r="S6" s="237" t="s">
        <v>17</v>
      </c>
      <c r="T6" s="238"/>
      <c r="U6" s="237" t="s">
        <v>18</v>
      </c>
      <c r="V6" s="238"/>
      <c r="W6" s="230" t="s">
        <v>19</v>
      </c>
      <c r="X6" s="230" t="s">
        <v>1038</v>
      </c>
      <c r="Y6" s="230" t="s">
        <v>21</v>
      </c>
      <c r="Z6" s="230" t="s">
        <v>22</v>
      </c>
      <c r="AA6" s="230" t="s">
        <v>23</v>
      </c>
      <c r="AB6" s="230" t="s">
        <v>1039</v>
      </c>
      <c r="AC6" s="230" t="s">
        <v>1040</v>
      </c>
      <c r="AD6" s="230" t="s">
        <v>1041</v>
      </c>
      <c r="AE6" s="232" t="s">
        <v>27</v>
      </c>
      <c r="AF6" s="232" t="s">
        <v>28</v>
      </c>
      <c r="AG6" s="232" t="s">
        <v>1042</v>
      </c>
      <c r="AH6" s="235"/>
      <c r="AI6" s="235"/>
      <c r="AJ6" s="235"/>
    </row>
    <row r="7" spans="1:36" ht="303" x14ac:dyDescent="0.25">
      <c r="B7" s="186"/>
      <c r="C7" s="186"/>
      <c r="D7" s="186"/>
      <c r="E7" s="247"/>
      <c r="F7" s="250"/>
      <c r="G7" s="62" t="s">
        <v>30</v>
      </c>
      <c r="H7" s="62" t="s">
        <v>31</v>
      </c>
      <c r="I7" s="62" t="s">
        <v>32</v>
      </c>
      <c r="J7" s="62" t="s">
        <v>33</v>
      </c>
      <c r="K7" s="62" t="s">
        <v>34</v>
      </c>
      <c r="L7" s="62" t="s">
        <v>35</v>
      </c>
      <c r="M7" s="239"/>
      <c r="N7" s="240"/>
      <c r="O7" s="239"/>
      <c r="P7" s="240"/>
      <c r="Q7" s="239"/>
      <c r="R7" s="240"/>
      <c r="S7" s="239"/>
      <c r="T7" s="240"/>
      <c r="U7" s="239"/>
      <c r="V7" s="240"/>
      <c r="W7" s="231"/>
      <c r="X7" s="231"/>
      <c r="Y7" s="231"/>
      <c r="Z7" s="231"/>
      <c r="AA7" s="231"/>
      <c r="AB7" s="231"/>
      <c r="AC7" s="231"/>
      <c r="AD7" s="231"/>
      <c r="AE7" s="233"/>
      <c r="AF7" s="233"/>
      <c r="AG7" s="233"/>
      <c r="AH7" s="235"/>
      <c r="AI7" s="235"/>
      <c r="AJ7" s="235"/>
    </row>
    <row r="8" spans="1:36" ht="45.75" x14ac:dyDescent="0.25">
      <c r="B8" s="186"/>
      <c r="C8" s="186"/>
      <c r="D8" s="186"/>
      <c r="E8" s="148" t="s">
        <v>1043</v>
      </c>
      <c r="F8" s="149" t="s">
        <v>36</v>
      </c>
      <c r="G8" s="148" t="s">
        <v>36</v>
      </c>
      <c r="H8" s="148" t="s">
        <v>36</v>
      </c>
      <c r="I8" s="148" t="s">
        <v>36</v>
      </c>
      <c r="J8" s="148" t="s">
        <v>36</v>
      </c>
      <c r="K8" s="148" t="s">
        <v>36</v>
      </c>
      <c r="L8" s="148" t="s">
        <v>36</v>
      </c>
      <c r="M8" s="26" t="s">
        <v>37</v>
      </c>
      <c r="N8" s="148" t="s">
        <v>36</v>
      </c>
      <c r="O8" s="148" t="s">
        <v>38</v>
      </c>
      <c r="P8" s="148" t="s">
        <v>36</v>
      </c>
      <c r="Q8" s="148" t="s">
        <v>38</v>
      </c>
      <c r="R8" s="148" t="s">
        <v>36</v>
      </c>
      <c r="S8" s="148" t="s">
        <v>38</v>
      </c>
      <c r="T8" s="148" t="s">
        <v>36</v>
      </c>
      <c r="U8" s="148" t="s">
        <v>39</v>
      </c>
      <c r="V8" s="148" t="s">
        <v>36</v>
      </c>
      <c r="W8" s="148" t="s">
        <v>36</v>
      </c>
      <c r="X8" s="148" t="s">
        <v>36</v>
      </c>
      <c r="Y8" s="148" t="s">
        <v>36</v>
      </c>
      <c r="Z8" s="148" t="s">
        <v>36</v>
      </c>
      <c r="AA8" s="148" t="s">
        <v>36</v>
      </c>
      <c r="AB8" s="148" t="s">
        <v>36</v>
      </c>
      <c r="AC8" s="148" t="s">
        <v>36</v>
      </c>
      <c r="AD8" s="148" t="s">
        <v>36</v>
      </c>
      <c r="AE8" s="148" t="s">
        <v>36</v>
      </c>
      <c r="AF8" s="148" t="s">
        <v>36</v>
      </c>
      <c r="AG8" s="148" t="s">
        <v>36</v>
      </c>
      <c r="AH8" s="236"/>
      <c r="AI8" s="236"/>
      <c r="AJ8" s="236"/>
    </row>
    <row r="9" spans="1:36" ht="45.75" x14ac:dyDescent="0.65">
      <c r="B9" s="150">
        <v>1</v>
      </c>
      <c r="C9" s="150">
        <v>2</v>
      </c>
      <c r="D9" s="150">
        <v>3</v>
      </c>
      <c r="E9" s="150">
        <v>4</v>
      </c>
      <c r="F9" s="150">
        <v>5</v>
      </c>
      <c r="G9" s="150">
        <v>6</v>
      </c>
      <c r="H9" s="150">
        <v>7</v>
      </c>
      <c r="I9" s="150">
        <v>8</v>
      </c>
      <c r="J9" s="150">
        <v>9</v>
      </c>
      <c r="K9" s="150">
        <v>10</v>
      </c>
      <c r="L9" s="150">
        <v>11</v>
      </c>
      <c r="M9" s="63">
        <v>12</v>
      </c>
      <c r="N9" s="150">
        <v>13</v>
      </c>
      <c r="O9" s="150">
        <v>14</v>
      </c>
      <c r="P9" s="150">
        <v>15</v>
      </c>
      <c r="Q9" s="150">
        <v>16</v>
      </c>
      <c r="R9" s="150">
        <v>17</v>
      </c>
      <c r="S9" s="150">
        <v>18</v>
      </c>
      <c r="T9" s="150">
        <v>19</v>
      </c>
      <c r="U9" s="150">
        <v>20</v>
      </c>
      <c r="V9" s="150">
        <v>21</v>
      </c>
      <c r="W9" s="150">
        <v>22</v>
      </c>
      <c r="X9" s="150">
        <v>23</v>
      </c>
      <c r="Y9" s="150">
        <v>24</v>
      </c>
      <c r="Z9" s="150">
        <v>25</v>
      </c>
      <c r="AA9" s="150">
        <v>26</v>
      </c>
      <c r="AB9" s="150">
        <v>27</v>
      </c>
      <c r="AC9" s="150">
        <v>28</v>
      </c>
      <c r="AD9" s="150">
        <v>29</v>
      </c>
      <c r="AE9" s="150">
        <v>30</v>
      </c>
      <c r="AF9" s="150">
        <v>31</v>
      </c>
      <c r="AG9" s="150">
        <v>32</v>
      </c>
      <c r="AH9" s="150">
        <v>33</v>
      </c>
      <c r="AI9" s="150">
        <v>34</v>
      </c>
      <c r="AJ9" s="150">
        <v>35</v>
      </c>
    </row>
    <row r="10" spans="1:36" ht="61.5" x14ac:dyDescent="0.25">
      <c r="B10" s="229" t="s">
        <v>1044</v>
      </c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</row>
    <row r="11" spans="1:36" s="73" customFormat="1" ht="61.5" x14ac:dyDescent="0.85">
      <c r="B11" s="70" t="s">
        <v>1078</v>
      </c>
      <c r="C11" s="74"/>
      <c r="D11" s="68" t="s">
        <v>916</v>
      </c>
      <c r="E11" s="69">
        <f>AVERAGE(E12:E58)</f>
        <v>1.0072967198581564</v>
      </c>
      <c r="F11" s="31">
        <f>F12+F14+F23+F27+F29+F32+F35+F41+F43+F47+F49+F51+F53+F57+F39+F25+F59+F61</f>
        <v>82971160.886453196</v>
      </c>
      <c r="G11" s="31">
        <f t="shared" ref="G11:AG11" si="0">G12+G14+G23+G27+G29+G32+G35+G41+G43+G47+G49+G51+G53+G57+G39+G25+G59+G61</f>
        <v>527851.61</v>
      </c>
      <c r="H11" s="31">
        <f t="shared" si="0"/>
        <v>574926.32999999996</v>
      </c>
      <c r="I11" s="31">
        <f t="shared" si="0"/>
        <v>1042147.18</v>
      </c>
      <c r="J11" s="31">
        <f t="shared" si="0"/>
        <v>709528.05</v>
      </c>
      <c r="K11" s="31">
        <f t="shared" si="0"/>
        <v>825545.05</v>
      </c>
      <c r="L11" s="31">
        <f t="shared" si="0"/>
        <v>0</v>
      </c>
      <c r="M11" s="76">
        <f t="shared" si="0"/>
        <v>0</v>
      </c>
      <c r="N11" s="31">
        <f t="shared" si="0"/>
        <v>0</v>
      </c>
      <c r="O11" s="31">
        <f t="shared" si="0"/>
        <v>15047.49</v>
      </c>
      <c r="P11" s="31">
        <f t="shared" si="0"/>
        <v>68121582.810000002</v>
      </c>
      <c r="Q11" s="31">
        <f t="shared" si="0"/>
        <v>0</v>
      </c>
      <c r="R11" s="31">
        <f t="shared" si="0"/>
        <v>0</v>
      </c>
      <c r="S11" s="31">
        <f t="shared" si="0"/>
        <v>1606.91</v>
      </c>
      <c r="T11" s="31">
        <f t="shared" si="0"/>
        <v>7830955.9764532018</v>
      </c>
      <c r="U11" s="31">
        <f t="shared" si="0"/>
        <v>0</v>
      </c>
      <c r="V11" s="31">
        <f t="shared" si="0"/>
        <v>0</v>
      </c>
      <c r="W11" s="31">
        <f t="shared" si="0"/>
        <v>0</v>
      </c>
      <c r="X11" s="31">
        <f t="shared" si="0"/>
        <v>0</v>
      </c>
      <c r="Y11" s="31">
        <f t="shared" si="0"/>
        <v>0</v>
      </c>
      <c r="Z11" s="31">
        <f t="shared" si="0"/>
        <v>0</v>
      </c>
      <c r="AA11" s="31">
        <f t="shared" si="0"/>
        <v>0</v>
      </c>
      <c r="AB11" s="31">
        <f t="shared" si="0"/>
        <v>0</v>
      </c>
      <c r="AC11" s="31">
        <f t="shared" si="0"/>
        <v>0</v>
      </c>
      <c r="AD11" s="31">
        <f t="shared" si="0"/>
        <v>0</v>
      </c>
      <c r="AE11" s="31">
        <f t="shared" si="0"/>
        <v>1194488.0699999998</v>
      </c>
      <c r="AF11" s="31">
        <f t="shared" si="0"/>
        <v>2144135.8099999996</v>
      </c>
      <c r="AG11" s="31">
        <f t="shared" si="0"/>
        <v>0</v>
      </c>
      <c r="AH11" s="35" t="s">
        <v>916</v>
      </c>
      <c r="AI11" s="35" t="s">
        <v>916</v>
      </c>
      <c r="AJ11" s="35" t="s">
        <v>916</v>
      </c>
    </row>
    <row r="12" spans="1:36" s="20" customFormat="1" ht="61.5" x14ac:dyDescent="0.85">
      <c r="B12" s="70" t="s">
        <v>840</v>
      </c>
      <c r="C12" s="24"/>
      <c r="D12" s="68" t="s">
        <v>916</v>
      </c>
      <c r="E12" s="69">
        <f>AVERAGE(E13:E13)</f>
        <v>1.0055000000000001</v>
      </c>
      <c r="F12" s="31">
        <f>F13</f>
        <v>2320165.87</v>
      </c>
      <c r="G12" s="31">
        <f t="shared" ref="G12:AG12" si="1">G13</f>
        <v>0</v>
      </c>
      <c r="H12" s="31">
        <f t="shared" si="1"/>
        <v>0</v>
      </c>
      <c r="I12" s="31">
        <f t="shared" si="1"/>
        <v>0</v>
      </c>
      <c r="J12" s="31">
        <f t="shared" si="1"/>
        <v>0</v>
      </c>
      <c r="K12" s="31">
        <f t="shared" si="1"/>
        <v>0</v>
      </c>
      <c r="L12" s="31">
        <f t="shared" si="1"/>
        <v>0</v>
      </c>
      <c r="M12" s="76">
        <f t="shared" si="1"/>
        <v>0</v>
      </c>
      <c r="N12" s="31">
        <f t="shared" si="1"/>
        <v>0</v>
      </c>
      <c r="O12" s="31">
        <f t="shared" si="1"/>
        <v>600</v>
      </c>
      <c r="P12" s="31">
        <v>2285877.7000000002</v>
      </c>
      <c r="Q12" s="31">
        <f t="shared" si="1"/>
        <v>0</v>
      </c>
      <c r="R12" s="31">
        <f t="shared" si="1"/>
        <v>0</v>
      </c>
      <c r="S12" s="31">
        <f t="shared" si="1"/>
        <v>0</v>
      </c>
      <c r="T12" s="31">
        <f t="shared" si="1"/>
        <v>0</v>
      </c>
      <c r="U12" s="31">
        <f t="shared" si="1"/>
        <v>0</v>
      </c>
      <c r="V12" s="31">
        <f t="shared" si="1"/>
        <v>0</v>
      </c>
      <c r="W12" s="31">
        <f t="shared" si="1"/>
        <v>0</v>
      </c>
      <c r="X12" s="31">
        <f t="shared" si="1"/>
        <v>0</v>
      </c>
      <c r="Y12" s="31">
        <f t="shared" si="1"/>
        <v>0</v>
      </c>
      <c r="Z12" s="31">
        <f t="shared" si="1"/>
        <v>0</v>
      </c>
      <c r="AA12" s="31">
        <f t="shared" si="1"/>
        <v>0</v>
      </c>
      <c r="AB12" s="31">
        <f t="shared" si="1"/>
        <v>0</v>
      </c>
      <c r="AC12" s="31">
        <f t="shared" si="1"/>
        <v>0</v>
      </c>
      <c r="AD12" s="31">
        <f t="shared" si="1"/>
        <v>0</v>
      </c>
      <c r="AE12" s="67">
        <f t="shared" si="1"/>
        <v>34288.17</v>
      </c>
      <c r="AF12" s="67">
        <f t="shared" si="1"/>
        <v>0</v>
      </c>
      <c r="AG12" s="68">
        <f t="shared" si="1"/>
        <v>0</v>
      </c>
      <c r="AH12" s="35" t="s">
        <v>916</v>
      </c>
      <c r="AI12" s="35" t="s">
        <v>916</v>
      </c>
      <c r="AJ12" s="35" t="s">
        <v>916</v>
      </c>
    </row>
    <row r="13" spans="1:36" s="20" customFormat="1" ht="61.5" x14ac:dyDescent="0.85">
      <c r="A13" s="20">
        <v>1</v>
      </c>
      <c r="B13" s="66">
        <f>SUBTOTAL(103,$A13:A$13)</f>
        <v>1</v>
      </c>
      <c r="C13" s="24" t="s">
        <v>1047</v>
      </c>
      <c r="D13" s="68" t="s">
        <v>1066</v>
      </c>
      <c r="E13" s="69">
        <v>1.0055000000000001</v>
      </c>
      <c r="F13" s="31">
        <f>G13+H13+I13+J13+K13+L13+N13+P13+R13+T13+V13+W13+X13+Y13+Z13+AA13+AB13+AC13+AD13+AE13+AF13+AG13</f>
        <v>2320165.87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76">
        <v>0</v>
      </c>
      <c r="N13" s="31">
        <v>0</v>
      </c>
      <c r="O13" s="31">
        <v>600</v>
      </c>
      <c r="P13" s="31">
        <v>2285877.7000000002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67">
        <f>ROUND(P13*1.5%,2)</f>
        <v>34288.17</v>
      </c>
      <c r="AF13" s="67">
        <v>0</v>
      </c>
      <c r="AG13" s="67">
        <v>0</v>
      </c>
      <c r="AH13" s="35" t="s">
        <v>274</v>
      </c>
      <c r="AI13" s="35">
        <v>2020</v>
      </c>
      <c r="AJ13" s="35">
        <v>2020</v>
      </c>
    </row>
    <row r="14" spans="1:36" s="20" customFormat="1" ht="61.5" x14ac:dyDescent="0.85">
      <c r="B14" s="70" t="s">
        <v>1074</v>
      </c>
      <c r="C14" s="24"/>
      <c r="D14" s="68" t="s">
        <v>916</v>
      </c>
      <c r="E14" s="69">
        <f>AVERAGE(E15:E22)</f>
        <v>1.0043124999999999</v>
      </c>
      <c r="F14" s="31">
        <f t="shared" ref="F14:AG14" si="2">SUM(F15:F22)</f>
        <v>22023333.006305423</v>
      </c>
      <c r="G14" s="31">
        <f t="shared" si="2"/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  <c r="K14" s="31">
        <f t="shared" si="2"/>
        <v>0</v>
      </c>
      <c r="L14" s="31">
        <f t="shared" si="2"/>
        <v>0</v>
      </c>
      <c r="M14" s="76">
        <f t="shared" si="2"/>
        <v>0</v>
      </c>
      <c r="N14" s="31">
        <f t="shared" si="2"/>
        <v>0</v>
      </c>
      <c r="O14" s="31">
        <f t="shared" si="2"/>
        <v>3795.9</v>
      </c>
      <c r="P14" s="31">
        <f t="shared" si="2"/>
        <v>16975416.550000001</v>
      </c>
      <c r="Q14" s="31">
        <f t="shared" si="2"/>
        <v>0</v>
      </c>
      <c r="R14" s="31">
        <f t="shared" si="2"/>
        <v>0</v>
      </c>
      <c r="S14" s="31">
        <f t="shared" si="2"/>
        <v>910</v>
      </c>
      <c r="T14" s="31">
        <f t="shared" si="2"/>
        <v>4176050.2463054182</v>
      </c>
      <c r="U14" s="31">
        <f t="shared" si="2"/>
        <v>0</v>
      </c>
      <c r="V14" s="31">
        <f t="shared" si="2"/>
        <v>0</v>
      </c>
      <c r="W14" s="31">
        <f t="shared" si="2"/>
        <v>0</v>
      </c>
      <c r="X14" s="31">
        <f t="shared" si="2"/>
        <v>0</v>
      </c>
      <c r="Y14" s="31">
        <f t="shared" si="2"/>
        <v>0</v>
      </c>
      <c r="Z14" s="31">
        <f t="shared" si="2"/>
        <v>0</v>
      </c>
      <c r="AA14" s="31">
        <f t="shared" si="2"/>
        <v>0</v>
      </c>
      <c r="AB14" s="31">
        <f t="shared" si="2"/>
        <v>0</v>
      </c>
      <c r="AC14" s="31">
        <f t="shared" si="2"/>
        <v>0</v>
      </c>
      <c r="AD14" s="31">
        <f t="shared" si="2"/>
        <v>0</v>
      </c>
      <c r="AE14" s="31">
        <f t="shared" si="2"/>
        <v>317272.00000000006</v>
      </c>
      <c r="AF14" s="31">
        <f t="shared" si="2"/>
        <v>554594.21</v>
      </c>
      <c r="AG14" s="31">
        <f t="shared" si="2"/>
        <v>0</v>
      </c>
      <c r="AH14" s="35" t="s">
        <v>916</v>
      </c>
      <c r="AI14" s="35" t="s">
        <v>916</v>
      </c>
      <c r="AJ14" s="35" t="s">
        <v>916</v>
      </c>
    </row>
    <row r="15" spans="1:36" s="20" customFormat="1" ht="61.5" x14ac:dyDescent="0.85">
      <c r="A15" s="20">
        <v>1</v>
      </c>
      <c r="B15" s="66">
        <f>SUBTOTAL(103,$A$13:A15)</f>
        <v>2</v>
      </c>
      <c r="C15" s="24" t="s">
        <v>1048</v>
      </c>
      <c r="D15" s="68" t="s">
        <v>1067</v>
      </c>
      <c r="E15" s="69">
        <v>1.0047999999999999</v>
      </c>
      <c r="F15" s="31">
        <f t="shared" ref="F15:F62" si="3">G15+H15+I15+J15+K15+L15+N15+P15+R15+T15+V15+W15+X15+Y15+Z15+AA15+AB15+AC15+AD15+AE15+AF15+AG15</f>
        <v>7302960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76">
        <v>0</v>
      </c>
      <c r="N15" s="31">
        <v>0</v>
      </c>
      <c r="O15" s="31">
        <v>1557.9</v>
      </c>
      <c r="P15" s="31">
        <v>7195034.4800000004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67">
        <f>ROUND(P15*1.5%,2)</f>
        <v>107925.52</v>
      </c>
      <c r="AF15" s="67">
        <v>0</v>
      </c>
      <c r="AG15" s="67">
        <v>0</v>
      </c>
      <c r="AH15" s="35" t="s">
        <v>274</v>
      </c>
      <c r="AI15" s="35">
        <v>2020</v>
      </c>
      <c r="AJ15" s="35">
        <v>2020</v>
      </c>
    </row>
    <row r="16" spans="1:36" s="20" customFormat="1" ht="61.5" x14ac:dyDescent="0.85">
      <c r="A16" s="20">
        <v>1</v>
      </c>
      <c r="B16" s="66">
        <f>SUBTOTAL(103,$A$13:A16)</f>
        <v>3</v>
      </c>
      <c r="C16" s="24" t="s">
        <v>1049</v>
      </c>
      <c r="D16" s="68" t="s">
        <v>1066</v>
      </c>
      <c r="E16" s="69">
        <v>1</v>
      </c>
      <c r="F16" s="31">
        <f t="shared" si="3"/>
        <v>1077000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76">
        <v>0</v>
      </c>
      <c r="N16" s="31">
        <v>0</v>
      </c>
      <c r="O16" s="31">
        <v>240</v>
      </c>
      <c r="P16" s="31">
        <v>972413.79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67">
        <f>ROUND(P16*1.5%,2)</f>
        <v>14586.21</v>
      </c>
      <c r="AF16" s="67">
        <v>90000</v>
      </c>
      <c r="AG16" s="67">
        <v>0</v>
      </c>
      <c r="AH16" s="35">
        <v>2020</v>
      </c>
      <c r="AI16" s="35">
        <v>2020</v>
      </c>
      <c r="AJ16" s="35">
        <v>2020</v>
      </c>
    </row>
    <row r="17" spans="1:36" s="20" customFormat="1" ht="61.5" x14ac:dyDescent="0.85">
      <c r="A17" s="20">
        <v>1</v>
      </c>
      <c r="B17" s="66">
        <f>SUBTOTAL(103,$A$13:A17)</f>
        <v>4</v>
      </c>
      <c r="C17" s="24" t="s">
        <v>1050</v>
      </c>
      <c r="D17" s="68" t="s">
        <v>1068</v>
      </c>
      <c r="E17" s="69">
        <v>1.0003</v>
      </c>
      <c r="F17" s="31">
        <f t="shared" si="3"/>
        <v>1153050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76">
        <v>0</v>
      </c>
      <c r="N17" s="31">
        <v>0</v>
      </c>
      <c r="O17" s="31">
        <v>257</v>
      </c>
      <c r="P17" s="31">
        <v>1047339.9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67">
        <f>ROUND(P17*1.5%,2)</f>
        <v>15710.1</v>
      </c>
      <c r="AF17" s="67">
        <v>90000</v>
      </c>
      <c r="AG17" s="67">
        <v>0</v>
      </c>
      <c r="AH17" s="35">
        <v>2020</v>
      </c>
      <c r="AI17" s="35">
        <v>2020</v>
      </c>
      <c r="AJ17" s="35">
        <v>2020</v>
      </c>
    </row>
    <row r="18" spans="1:36" s="20" customFormat="1" ht="61.5" x14ac:dyDescent="0.85">
      <c r="A18" s="20">
        <v>1</v>
      </c>
      <c r="B18" s="66">
        <f>SUBTOTAL(103,$A$13:A18)</f>
        <v>5</v>
      </c>
      <c r="C18" s="24" t="s">
        <v>1063</v>
      </c>
      <c r="D18" s="68" t="s">
        <v>1067</v>
      </c>
      <c r="E18" s="69">
        <v>1.0178</v>
      </c>
      <c r="F18" s="31">
        <f t="shared" si="3"/>
        <v>1498190.9963054184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76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340</v>
      </c>
      <c r="T18" s="31">
        <v>1476050.2463054184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67">
        <f>ROUND(T18*1.5%,2)</f>
        <v>22140.75</v>
      </c>
      <c r="AF18" s="67">
        <v>0</v>
      </c>
      <c r="AG18" s="67">
        <v>0</v>
      </c>
      <c r="AH18" s="35" t="s">
        <v>274</v>
      </c>
      <c r="AI18" s="35">
        <v>2020</v>
      </c>
      <c r="AJ18" s="35">
        <v>2020</v>
      </c>
    </row>
    <row r="19" spans="1:36" s="20" customFormat="1" ht="61.5" x14ac:dyDescent="0.85">
      <c r="A19" s="20">
        <v>1</v>
      </c>
      <c r="B19" s="66">
        <f>SUBTOTAL(103,$A$13:A19)</f>
        <v>6</v>
      </c>
      <c r="C19" s="24" t="s">
        <v>1108</v>
      </c>
      <c r="D19" s="68" t="s">
        <v>1069</v>
      </c>
      <c r="E19" s="69">
        <v>1</v>
      </c>
      <c r="F19" s="31">
        <f t="shared" si="3"/>
        <v>3773900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76">
        <v>0</v>
      </c>
      <c r="N19" s="31">
        <v>0</v>
      </c>
      <c r="O19" s="31">
        <v>835</v>
      </c>
      <c r="P19" s="31">
        <v>3619605.91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67">
        <f>ROUND(P19*1.5%,2)</f>
        <v>54294.09</v>
      </c>
      <c r="AF19" s="67">
        <v>100000</v>
      </c>
      <c r="AG19" s="67">
        <v>0</v>
      </c>
      <c r="AH19" s="35">
        <v>2020</v>
      </c>
      <c r="AI19" s="35">
        <v>2020</v>
      </c>
      <c r="AJ19" s="35">
        <v>2020</v>
      </c>
    </row>
    <row r="20" spans="1:36" s="20" customFormat="1" ht="61.5" x14ac:dyDescent="0.85">
      <c r="A20" s="20">
        <v>1</v>
      </c>
      <c r="B20" s="66">
        <f>SUBTOTAL(103,$A$13:A20)</f>
        <v>7</v>
      </c>
      <c r="C20" s="24" t="s">
        <v>1115</v>
      </c>
      <c r="D20" s="68" t="s">
        <v>1069</v>
      </c>
      <c r="E20" s="69">
        <v>1.0026999999999999</v>
      </c>
      <c r="F20" s="31">
        <f t="shared" si="3"/>
        <v>2830500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76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570</v>
      </c>
      <c r="T20" s="31">
        <v>2700000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67">
        <f>ROUND(T20*1.5%,2)</f>
        <v>40500</v>
      </c>
      <c r="AF20" s="67">
        <v>90000</v>
      </c>
      <c r="AG20" s="67">
        <v>0</v>
      </c>
      <c r="AH20" s="35">
        <v>2020</v>
      </c>
      <c r="AI20" s="35">
        <v>2020</v>
      </c>
      <c r="AJ20" s="35">
        <v>2020</v>
      </c>
    </row>
    <row r="21" spans="1:36" s="20" customFormat="1" ht="61.5" x14ac:dyDescent="0.85">
      <c r="A21" s="20">
        <v>1</v>
      </c>
      <c r="B21" s="66">
        <f>SUBTOTAL(103,$A$13:A21)</f>
        <v>8</v>
      </c>
      <c r="C21" s="24" t="s">
        <v>1116</v>
      </c>
      <c r="D21" s="68" t="s">
        <v>1067</v>
      </c>
      <c r="E21" s="69">
        <v>1.0053000000000001</v>
      </c>
      <c r="F21" s="31">
        <f t="shared" si="3"/>
        <v>2372807.9900000002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76">
        <v>0</v>
      </c>
      <c r="N21" s="31">
        <v>0</v>
      </c>
      <c r="O21" s="31">
        <v>550</v>
      </c>
      <c r="P21" s="31">
        <v>2244545.6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67">
        <f>ROUND(P21*1.5%,2)</f>
        <v>33668.18</v>
      </c>
      <c r="AF21" s="67">
        <f>90000+4594.21</f>
        <v>94594.21</v>
      </c>
      <c r="AG21" s="67">
        <v>0</v>
      </c>
      <c r="AH21" s="35">
        <v>2020</v>
      </c>
      <c r="AI21" s="35">
        <v>2020</v>
      </c>
      <c r="AJ21" s="35">
        <v>2020</v>
      </c>
    </row>
    <row r="22" spans="1:36" s="20" customFormat="1" ht="61.5" x14ac:dyDescent="0.85">
      <c r="A22" s="20">
        <v>1</v>
      </c>
      <c r="B22" s="66">
        <f>SUBTOTAL(103,$A$13:A22)</f>
        <v>9</v>
      </c>
      <c r="C22" s="24" t="s">
        <v>1432</v>
      </c>
      <c r="D22" s="68" t="s">
        <v>1067</v>
      </c>
      <c r="E22" s="69">
        <v>1.0036</v>
      </c>
      <c r="F22" s="31">
        <f t="shared" si="3"/>
        <v>2014924.02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76">
        <v>0</v>
      </c>
      <c r="N22" s="31">
        <v>0</v>
      </c>
      <c r="O22" s="31">
        <v>356</v>
      </c>
      <c r="P22" s="31">
        <v>1896476.87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67">
        <f>ROUND(P22*1.5%,2)</f>
        <v>28447.15</v>
      </c>
      <c r="AF22" s="67">
        <v>90000</v>
      </c>
      <c r="AG22" s="67">
        <v>0</v>
      </c>
      <c r="AH22" s="35">
        <v>2020</v>
      </c>
      <c r="AI22" s="35">
        <v>2020</v>
      </c>
      <c r="AJ22" s="35">
        <v>2020</v>
      </c>
    </row>
    <row r="23" spans="1:36" s="20" customFormat="1" ht="61.5" x14ac:dyDescent="0.85">
      <c r="B23" s="70" t="s">
        <v>844</v>
      </c>
      <c r="C23" s="24"/>
      <c r="D23" s="68" t="s">
        <v>916</v>
      </c>
      <c r="E23" s="69">
        <f>AVERAGE(E24)</f>
        <v>1.0267999999999999</v>
      </c>
      <c r="F23" s="31">
        <f>F24</f>
        <v>2206512.27</v>
      </c>
      <c r="G23" s="31">
        <f t="shared" ref="G23:AG23" si="4">G24</f>
        <v>0</v>
      </c>
      <c r="H23" s="31">
        <f t="shared" si="4"/>
        <v>0</v>
      </c>
      <c r="I23" s="31">
        <f t="shared" si="4"/>
        <v>0</v>
      </c>
      <c r="J23" s="31">
        <f t="shared" si="4"/>
        <v>0</v>
      </c>
      <c r="K23" s="31">
        <f t="shared" si="4"/>
        <v>0</v>
      </c>
      <c r="L23" s="31">
        <f t="shared" si="4"/>
        <v>0</v>
      </c>
      <c r="M23" s="76">
        <f t="shared" si="4"/>
        <v>0</v>
      </c>
      <c r="N23" s="31">
        <f t="shared" si="4"/>
        <v>0</v>
      </c>
      <c r="O23" s="31">
        <f t="shared" si="4"/>
        <v>386.8</v>
      </c>
      <c r="P23" s="31">
        <f t="shared" si="4"/>
        <v>2085233.76</v>
      </c>
      <c r="Q23" s="31">
        <f t="shared" si="4"/>
        <v>0</v>
      </c>
      <c r="R23" s="31">
        <f t="shared" si="4"/>
        <v>0</v>
      </c>
      <c r="S23" s="31">
        <f t="shared" si="4"/>
        <v>0</v>
      </c>
      <c r="T23" s="31">
        <f t="shared" si="4"/>
        <v>0</v>
      </c>
      <c r="U23" s="31">
        <f t="shared" si="4"/>
        <v>0</v>
      </c>
      <c r="V23" s="31">
        <f t="shared" si="4"/>
        <v>0</v>
      </c>
      <c r="W23" s="31">
        <f t="shared" si="4"/>
        <v>0</v>
      </c>
      <c r="X23" s="31">
        <f t="shared" si="4"/>
        <v>0</v>
      </c>
      <c r="Y23" s="31">
        <f t="shared" si="4"/>
        <v>0</v>
      </c>
      <c r="Z23" s="31">
        <f t="shared" si="4"/>
        <v>0</v>
      </c>
      <c r="AA23" s="31">
        <f t="shared" si="4"/>
        <v>0</v>
      </c>
      <c r="AB23" s="31">
        <f t="shared" si="4"/>
        <v>0</v>
      </c>
      <c r="AC23" s="31">
        <f t="shared" si="4"/>
        <v>0</v>
      </c>
      <c r="AD23" s="31">
        <f t="shared" si="4"/>
        <v>0</v>
      </c>
      <c r="AE23" s="67">
        <f t="shared" si="4"/>
        <v>31278.51</v>
      </c>
      <c r="AF23" s="67">
        <f t="shared" si="4"/>
        <v>90000</v>
      </c>
      <c r="AG23" s="68">
        <f t="shared" si="4"/>
        <v>0</v>
      </c>
      <c r="AH23" s="35" t="s">
        <v>916</v>
      </c>
      <c r="AI23" s="35" t="s">
        <v>916</v>
      </c>
      <c r="AJ23" s="35" t="s">
        <v>916</v>
      </c>
    </row>
    <row r="24" spans="1:36" s="20" customFormat="1" ht="61.5" x14ac:dyDescent="0.85">
      <c r="A24" s="20">
        <v>1</v>
      </c>
      <c r="B24" s="66">
        <f>SUBTOTAL(103,$A$13:A24)</f>
        <v>10</v>
      </c>
      <c r="C24" s="24" t="s">
        <v>699</v>
      </c>
      <c r="D24" s="68" t="s">
        <v>1069</v>
      </c>
      <c r="E24" s="69">
        <v>1.0267999999999999</v>
      </c>
      <c r="F24" s="31">
        <f t="shared" si="3"/>
        <v>2206512.27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76">
        <v>0</v>
      </c>
      <c r="N24" s="31">
        <v>0</v>
      </c>
      <c r="O24" s="31">
        <v>386.8</v>
      </c>
      <c r="P24" s="31">
        <v>2085233.76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67">
        <f>ROUND(P24*1.5%,2)</f>
        <v>31278.51</v>
      </c>
      <c r="AF24" s="67">
        <v>90000</v>
      </c>
      <c r="AG24" s="67">
        <v>0</v>
      </c>
      <c r="AH24" s="35">
        <v>2020</v>
      </c>
      <c r="AI24" s="35">
        <v>2020</v>
      </c>
      <c r="AJ24" s="35">
        <v>2020</v>
      </c>
    </row>
    <row r="25" spans="1:36" s="20" customFormat="1" ht="61.5" x14ac:dyDescent="0.85">
      <c r="B25" s="70" t="s">
        <v>848</v>
      </c>
      <c r="C25" s="24"/>
      <c r="D25" s="68" t="s">
        <v>916</v>
      </c>
      <c r="E25" s="69">
        <f>AVERAGE(E26)</f>
        <v>1</v>
      </c>
      <c r="F25" s="31">
        <f>F26</f>
        <v>6235729.1299999999</v>
      </c>
      <c r="G25" s="31">
        <f t="shared" ref="G25:AG25" si="5">G26</f>
        <v>0</v>
      </c>
      <c r="H25" s="31">
        <f t="shared" si="5"/>
        <v>0</v>
      </c>
      <c r="I25" s="31">
        <f t="shared" si="5"/>
        <v>0</v>
      </c>
      <c r="J25" s="31">
        <f t="shared" si="5"/>
        <v>0</v>
      </c>
      <c r="K25" s="31">
        <f t="shared" si="5"/>
        <v>0</v>
      </c>
      <c r="L25" s="31">
        <f t="shared" si="5"/>
        <v>0</v>
      </c>
      <c r="M25" s="76">
        <f t="shared" si="5"/>
        <v>0</v>
      </c>
      <c r="N25" s="31">
        <f t="shared" si="5"/>
        <v>0</v>
      </c>
      <c r="O25" s="31">
        <f t="shared" si="5"/>
        <v>1250</v>
      </c>
      <c r="P25" s="31">
        <f t="shared" si="5"/>
        <v>6143575.5</v>
      </c>
      <c r="Q25" s="31">
        <f t="shared" si="5"/>
        <v>0</v>
      </c>
      <c r="R25" s="31">
        <f t="shared" si="5"/>
        <v>0</v>
      </c>
      <c r="S25" s="31">
        <f t="shared" si="5"/>
        <v>0</v>
      </c>
      <c r="T25" s="31">
        <f t="shared" si="5"/>
        <v>0</v>
      </c>
      <c r="U25" s="31">
        <f t="shared" si="5"/>
        <v>0</v>
      </c>
      <c r="V25" s="31">
        <f t="shared" si="5"/>
        <v>0</v>
      </c>
      <c r="W25" s="31">
        <f t="shared" si="5"/>
        <v>0</v>
      </c>
      <c r="X25" s="31">
        <f t="shared" si="5"/>
        <v>0</v>
      </c>
      <c r="Y25" s="31">
        <f t="shared" si="5"/>
        <v>0</v>
      </c>
      <c r="Z25" s="31">
        <f t="shared" si="5"/>
        <v>0</v>
      </c>
      <c r="AA25" s="31">
        <f t="shared" si="5"/>
        <v>0</v>
      </c>
      <c r="AB25" s="31">
        <f t="shared" si="5"/>
        <v>0</v>
      </c>
      <c r="AC25" s="31">
        <f t="shared" si="5"/>
        <v>0</v>
      </c>
      <c r="AD25" s="31">
        <f t="shared" si="5"/>
        <v>0</v>
      </c>
      <c r="AE25" s="67">
        <f t="shared" si="5"/>
        <v>92153.63</v>
      </c>
      <c r="AF25" s="67">
        <f t="shared" si="5"/>
        <v>0</v>
      </c>
      <c r="AG25" s="68">
        <f t="shared" si="5"/>
        <v>0</v>
      </c>
      <c r="AH25" s="35" t="s">
        <v>916</v>
      </c>
      <c r="AI25" s="35" t="s">
        <v>916</v>
      </c>
      <c r="AJ25" s="35" t="s">
        <v>916</v>
      </c>
    </row>
    <row r="26" spans="1:36" s="20" customFormat="1" ht="61.5" x14ac:dyDescent="0.85">
      <c r="A26" s="20">
        <v>1</v>
      </c>
      <c r="B26" s="66">
        <f>SUBTOTAL(103,$A$13:A26)</f>
        <v>11</v>
      </c>
      <c r="C26" s="24" t="s">
        <v>1098</v>
      </c>
      <c r="D26" s="68" t="s">
        <v>1070</v>
      </c>
      <c r="E26" s="69">
        <v>1</v>
      </c>
      <c r="F26" s="31">
        <f t="shared" si="3"/>
        <v>6235729.1299999999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76">
        <v>0</v>
      </c>
      <c r="N26" s="31">
        <v>0</v>
      </c>
      <c r="O26" s="31">
        <v>1250</v>
      </c>
      <c r="P26" s="31">
        <v>6143575.5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67">
        <f>ROUND(P26*1.5%,2)</f>
        <v>92153.63</v>
      </c>
      <c r="AF26" s="67">
        <v>0</v>
      </c>
      <c r="AG26" s="67">
        <v>0</v>
      </c>
      <c r="AH26" s="35" t="s">
        <v>274</v>
      </c>
      <c r="AI26" s="35">
        <v>2020</v>
      </c>
      <c r="AJ26" s="35">
        <v>2020</v>
      </c>
    </row>
    <row r="27" spans="1:36" s="20" customFormat="1" ht="61.5" x14ac:dyDescent="0.85">
      <c r="B27" s="70" t="s">
        <v>849</v>
      </c>
      <c r="C27" s="24"/>
      <c r="D27" s="68" t="s">
        <v>916</v>
      </c>
      <c r="E27" s="69">
        <f>AVERAGE(E28)</f>
        <v>1.0308999999999999</v>
      </c>
      <c r="F27" s="31">
        <f>F28</f>
        <v>1375440</v>
      </c>
      <c r="G27" s="31">
        <f t="shared" ref="G27:AG27" si="6">G28</f>
        <v>0</v>
      </c>
      <c r="H27" s="31">
        <f t="shared" si="6"/>
        <v>0</v>
      </c>
      <c r="I27" s="31">
        <f t="shared" si="6"/>
        <v>0</v>
      </c>
      <c r="J27" s="31">
        <f t="shared" si="6"/>
        <v>0</v>
      </c>
      <c r="K27" s="31">
        <f t="shared" si="6"/>
        <v>0</v>
      </c>
      <c r="L27" s="31">
        <f t="shared" si="6"/>
        <v>0</v>
      </c>
      <c r="M27" s="76">
        <f t="shared" si="6"/>
        <v>0</v>
      </c>
      <c r="N27" s="31">
        <f t="shared" si="6"/>
        <v>0</v>
      </c>
      <c r="O27" s="31">
        <f t="shared" si="6"/>
        <v>292.8</v>
      </c>
      <c r="P27" s="31">
        <f t="shared" si="6"/>
        <v>1296000</v>
      </c>
      <c r="Q27" s="31">
        <f t="shared" si="6"/>
        <v>0</v>
      </c>
      <c r="R27" s="31">
        <f t="shared" si="6"/>
        <v>0</v>
      </c>
      <c r="S27" s="31">
        <f t="shared" si="6"/>
        <v>0</v>
      </c>
      <c r="T27" s="31">
        <f t="shared" si="6"/>
        <v>0</v>
      </c>
      <c r="U27" s="31">
        <f t="shared" si="6"/>
        <v>0</v>
      </c>
      <c r="V27" s="31">
        <f t="shared" si="6"/>
        <v>0</v>
      </c>
      <c r="W27" s="31">
        <f t="shared" si="6"/>
        <v>0</v>
      </c>
      <c r="X27" s="31">
        <f t="shared" si="6"/>
        <v>0</v>
      </c>
      <c r="Y27" s="31">
        <f t="shared" si="6"/>
        <v>0</v>
      </c>
      <c r="Z27" s="31">
        <f t="shared" si="6"/>
        <v>0</v>
      </c>
      <c r="AA27" s="31">
        <f t="shared" si="6"/>
        <v>0</v>
      </c>
      <c r="AB27" s="31">
        <f t="shared" si="6"/>
        <v>0</v>
      </c>
      <c r="AC27" s="31">
        <f t="shared" si="6"/>
        <v>0</v>
      </c>
      <c r="AD27" s="31">
        <f t="shared" si="6"/>
        <v>0</v>
      </c>
      <c r="AE27" s="67">
        <f t="shared" si="6"/>
        <v>19440</v>
      </c>
      <c r="AF27" s="67">
        <f t="shared" si="6"/>
        <v>60000</v>
      </c>
      <c r="AG27" s="68">
        <f t="shared" si="6"/>
        <v>0</v>
      </c>
      <c r="AH27" s="35" t="s">
        <v>916</v>
      </c>
      <c r="AI27" s="35" t="s">
        <v>916</v>
      </c>
      <c r="AJ27" s="35" t="s">
        <v>916</v>
      </c>
    </row>
    <row r="28" spans="1:36" s="20" customFormat="1" ht="61.5" x14ac:dyDescent="0.85">
      <c r="A28" s="20">
        <v>1</v>
      </c>
      <c r="B28" s="66">
        <f>SUBTOTAL(103,$A$13:A28)</f>
        <v>12</v>
      </c>
      <c r="C28" s="24" t="s">
        <v>1051</v>
      </c>
      <c r="D28" s="68" t="s">
        <v>1066</v>
      </c>
      <c r="E28" s="69">
        <v>1.0308999999999999</v>
      </c>
      <c r="F28" s="31">
        <f t="shared" si="3"/>
        <v>1375440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76">
        <v>0</v>
      </c>
      <c r="N28" s="31">
        <v>0</v>
      </c>
      <c r="O28" s="31">
        <v>292.8</v>
      </c>
      <c r="P28" s="31">
        <v>1296000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67">
        <f>ROUND(P28*1.5%,2)</f>
        <v>19440</v>
      </c>
      <c r="AF28" s="67">
        <v>60000</v>
      </c>
      <c r="AG28" s="67">
        <v>0</v>
      </c>
      <c r="AH28" s="35">
        <v>2020</v>
      </c>
      <c r="AI28" s="35">
        <v>2020</v>
      </c>
      <c r="AJ28" s="35">
        <v>2020</v>
      </c>
    </row>
    <row r="29" spans="1:36" s="20" customFormat="1" ht="61.5" x14ac:dyDescent="0.85">
      <c r="B29" s="70" t="s">
        <v>1075</v>
      </c>
      <c r="C29" s="24"/>
      <c r="D29" s="68" t="s">
        <v>916</v>
      </c>
      <c r="E29" s="69">
        <f>AVERAGE(E30:E31)</f>
        <v>1.0206</v>
      </c>
      <c r="F29" s="31">
        <f t="shared" ref="F29:AG29" si="7">SUM(F30:F31)</f>
        <v>3273930.5601477833</v>
      </c>
      <c r="G29" s="31">
        <f t="shared" si="7"/>
        <v>0</v>
      </c>
      <c r="H29" s="31">
        <f t="shared" si="7"/>
        <v>0</v>
      </c>
      <c r="I29" s="31">
        <f t="shared" si="7"/>
        <v>0</v>
      </c>
      <c r="J29" s="31">
        <f t="shared" si="7"/>
        <v>0</v>
      </c>
      <c r="K29" s="31">
        <f t="shared" si="7"/>
        <v>0</v>
      </c>
      <c r="L29" s="31">
        <f t="shared" si="7"/>
        <v>0</v>
      </c>
      <c r="M29" s="76">
        <f t="shared" si="7"/>
        <v>0</v>
      </c>
      <c r="N29" s="31">
        <f t="shared" si="7"/>
        <v>0</v>
      </c>
      <c r="O29" s="31">
        <f t="shared" si="7"/>
        <v>380</v>
      </c>
      <c r="P29" s="31">
        <f t="shared" si="7"/>
        <v>1708374.38</v>
      </c>
      <c r="Q29" s="31">
        <f t="shared" si="7"/>
        <v>0</v>
      </c>
      <c r="R29" s="31">
        <f t="shared" si="7"/>
        <v>0</v>
      </c>
      <c r="S29" s="31">
        <f t="shared" si="7"/>
        <v>429.61</v>
      </c>
      <c r="T29" s="31">
        <f t="shared" si="7"/>
        <v>1408131.9901477832</v>
      </c>
      <c r="U29" s="31">
        <f t="shared" si="7"/>
        <v>0</v>
      </c>
      <c r="V29" s="31">
        <f t="shared" si="7"/>
        <v>0</v>
      </c>
      <c r="W29" s="31">
        <f t="shared" si="7"/>
        <v>0</v>
      </c>
      <c r="X29" s="31">
        <f t="shared" si="7"/>
        <v>0</v>
      </c>
      <c r="Y29" s="31">
        <f t="shared" si="7"/>
        <v>0</v>
      </c>
      <c r="Z29" s="31">
        <f t="shared" si="7"/>
        <v>0</v>
      </c>
      <c r="AA29" s="31">
        <f t="shared" si="7"/>
        <v>0</v>
      </c>
      <c r="AB29" s="31">
        <f t="shared" si="7"/>
        <v>0</v>
      </c>
      <c r="AC29" s="31">
        <f t="shared" si="7"/>
        <v>0</v>
      </c>
      <c r="AD29" s="31">
        <f t="shared" si="7"/>
        <v>0</v>
      </c>
      <c r="AE29" s="67">
        <f t="shared" si="7"/>
        <v>46747.6</v>
      </c>
      <c r="AF29" s="67">
        <f t="shared" si="7"/>
        <v>110676.59</v>
      </c>
      <c r="AG29" s="68">
        <f t="shared" si="7"/>
        <v>0</v>
      </c>
      <c r="AH29" s="35" t="s">
        <v>916</v>
      </c>
      <c r="AI29" s="35" t="s">
        <v>916</v>
      </c>
      <c r="AJ29" s="35" t="s">
        <v>916</v>
      </c>
    </row>
    <row r="30" spans="1:36" s="20" customFormat="1" ht="61.5" x14ac:dyDescent="0.85">
      <c r="A30" s="20">
        <v>1</v>
      </c>
      <c r="B30" s="66">
        <f>SUBTOTAL(103,$A$13:A30)</f>
        <v>13</v>
      </c>
      <c r="C30" s="24" t="s">
        <v>1052</v>
      </c>
      <c r="D30" s="68" t="s">
        <v>1069</v>
      </c>
      <c r="E30" s="69">
        <v>1.0385</v>
      </c>
      <c r="F30" s="31">
        <f t="shared" si="3"/>
        <v>1784676.59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76">
        <v>0</v>
      </c>
      <c r="N30" s="31">
        <v>0</v>
      </c>
      <c r="O30" s="31">
        <v>380</v>
      </c>
      <c r="P30" s="31">
        <v>1708374.38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67">
        <f>ROUND(P30*1.5%,2)</f>
        <v>25625.62</v>
      </c>
      <c r="AF30" s="67">
        <v>50676.59</v>
      </c>
      <c r="AG30" s="67">
        <v>0</v>
      </c>
      <c r="AH30" s="35">
        <v>2020</v>
      </c>
      <c r="AI30" s="35">
        <v>2020</v>
      </c>
      <c r="AJ30" s="35">
        <v>2020</v>
      </c>
    </row>
    <row r="31" spans="1:36" s="20" customFormat="1" ht="61.5" x14ac:dyDescent="0.85">
      <c r="A31" s="20">
        <v>1</v>
      </c>
      <c r="B31" s="66">
        <f>SUBTOTAL(103,$A$13:A31)</f>
        <v>14</v>
      </c>
      <c r="C31" s="24" t="s">
        <v>1053</v>
      </c>
      <c r="D31" s="68" t="s">
        <v>1069</v>
      </c>
      <c r="E31" s="69">
        <v>1.0026999999999999</v>
      </c>
      <c r="F31" s="31">
        <f t="shared" si="3"/>
        <v>1489253.9701477832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76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429.61</v>
      </c>
      <c r="T31" s="31">
        <v>1408131.9901477832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67">
        <f>ROUND(T31*1.5%,2)</f>
        <v>21121.98</v>
      </c>
      <c r="AF31" s="67">
        <v>60000</v>
      </c>
      <c r="AG31" s="67">
        <v>0</v>
      </c>
      <c r="AH31" s="35">
        <v>2020</v>
      </c>
      <c r="AI31" s="35">
        <v>2020</v>
      </c>
      <c r="AJ31" s="35">
        <v>2020</v>
      </c>
    </row>
    <row r="32" spans="1:36" s="20" customFormat="1" ht="61.5" x14ac:dyDescent="0.85">
      <c r="B32" s="70" t="s">
        <v>856</v>
      </c>
      <c r="C32" s="24"/>
      <c r="D32" s="68" t="s">
        <v>916</v>
      </c>
      <c r="E32" s="69">
        <f>AVERAGE(E33:E34)</f>
        <v>1</v>
      </c>
      <c r="F32" s="31">
        <f>SUM(F33:F34)</f>
        <v>3465600.02</v>
      </c>
      <c r="G32" s="31">
        <f t="shared" ref="G32:AG32" si="8">SUM(G33:G34)</f>
        <v>0</v>
      </c>
      <c r="H32" s="31">
        <f t="shared" si="8"/>
        <v>0</v>
      </c>
      <c r="I32" s="31">
        <f t="shared" si="8"/>
        <v>0</v>
      </c>
      <c r="J32" s="31">
        <f t="shared" si="8"/>
        <v>0</v>
      </c>
      <c r="K32" s="31">
        <f t="shared" si="8"/>
        <v>0</v>
      </c>
      <c r="L32" s="31">
        <f t="shared" si="8"/>
        <v>0</v>
      </c>
      <c r="M32" s="76">
        <f t="shared" si="8"/>
        <v>0</v>
      </c>
      <c r="N32" s="31">
        <f t="shared" si="8"/>
        <v>0</v>
      </c>
      <c r="O32" s="31">
        <f t="shared" si="8"/>
        <v>722</v>
      </c>
      <c r="P32" s="31">
        <f t="shared" si="8"/>
        <v>3227192.12</v>
      </c>
      <c r="Q32" s="31">
        <f t="shared" si="8"/>
        <v>0</v>
      </c>
      <c r="R32" s="31">
        <f t="shared" si="8"/>
        <v>0</v>
      </c>
      <c r="S32" s="31">
        <f t="shared" si="8"/>
        <v>0</v>
      </c>
      <c r="T32" s="31">
        <f t="shared" si="8"/>
        <v>0</v>
      </c>
      <c r="U32" s="31">
        <f t="shared" si="8"/>
        <v>0</v>
      </c>
      <c r="V32" s="31">
        <f t="shared" si="8"/>
        <v>0</v>
      </c>
      <c r="W32" s="31">
        <f t="shared" si="8"/>
        <v>0</v>
      </c>
      <c r="X32" s="31">
        <f t="shared" si="8"/>
        <v>0</v>
      </c>
      <c r="Y32" s="31">
        <f t="shared" si="8"/>
        <v>0</v>
      </c>
      <c r="Z32" s="31">
        <f t="shared" si="8"/>
        <v>0</v>
      </c>
      <c r="AA32" s="31">
        <f t="shared" si="8"/>
        <v>0</v>
      </c>
      <c r="AB32" s="31">
        <f t="shared" si="8"/>
        <v>0</v>
      </c>
      <c r="AC32" s="31">
        <f t="shared" si="8"/>
        <v>0</v>
      </c>
      <c r="AD32" s="31">
        <f t="shared" si="8"/>
        <v>0</v>
      </c>
      <c r="AE32" s="67">
        <f t="shared" si="8"/>
        <v>48407.88</v>
      </c>
      <c r="AF32" s="67">
        <f t="shared" si="8"/>
        <v>190000.02000000002</v>
      </c>
      <c r="AG32" s="68">
        <f t="shared" si="8"/>
        <v>0</v>
      </c>
      <c r="AH32" s="35" t="s">
        <v>916</v>
      </c>
      <c r="AI32" s="35" t="s">
        <v>916</v>
      </c>
      <c r="AJ32" s="35" t="s">
        <v>916</v>
      </c>
    </row>
    <row r="33" spans="1:36" s="20" customFormat="1" ht="61.5" x14ac:dyDescent="0.85">
      <c r="A33" s="20">
        <v>1</v>
      </c>
      <c r="B33" s="66">
        <f>SUBTOTAL(103,$A$13:A33)</f>
        <v>15</v>
      </c>
      <c r="C33" s="24" t="s">
        <v>1073</v>
      </c>
      <c r="D33" s="68" t="s">
        <v>1067</v>
      </c>
      <c r="E33" s="69">
        <v>1</v>
      </c>
      <c r="F33" s="31">
        <f t="shared" si="3"/>
        <v>2667360.02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76">
        <v>0</v>
      </c>
      <c r="N33" s="31">
        <v>0</v>
      </c>
      <c r="O33" s="31">
        <v>555.70000000000005</v>
      </c>
      <c r="P33" s="31">
        <v>2529418.7200000002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67">
        <f>ROUND(P33*1.5%,2)</f>
        <v>37941.279999999999</v>
      </c>
      <c r="AF33" s="67">
        <v>100000.02</v>
      </c>
      <c r="AG33" s="67">
        <v>0</v>
      </c>
      <c r="AH33" s="35">
        <v>2020</v>
      </c>
      <c r="AI33" s="35">
        <v>2020</v>
      </c>
      <c r="AJ33" s="35">
        <v>2020</v>
      </c>
    </row>
    <row r="34" spans="1:36" s="20" customFormat="1" ht="61.5" x14ac:dyDescent="0.85">
      <c r="A34" s="20">
        <v>1</v>
      </c>
      <c r="B34" s="66">
        <f>SUBTOTAL(103,$A$13:A34)</f>
        <v>16</v>
      </c>
      <c r="C34" s="24" t="s">
        <v>1054</v>
      </c>
      <c r="D34" s="68" t="s">
        <v>1067</v>
      </c>
      <c r="E34" s="69">
        <v>1</v>
      </c>
      <c r="F34" s="31">
        <f t="shared" si="3"/>
        <v>798240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76">
        <v>0</v>
      </c>
      <c r="N34" s="31">
        <v>0</v>
      </c>
      <c r="O34" s="31">
        <v>166.3</v>
      </c>
      <c r="P34" s="31">
        <v>697773.4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67">
        <f>ROUND(P34*1.5%,2)</f>
        <v>10466.6</v>
      </c>
      <c r="AF34" s="67">
        <v>90000</v>
      </c>
      <c r="AG34" s="67">
        <v>0</v>
      </c>
      <c r="AH34" s="35">
        <v>2020</v>
      </c>
      <c r="AI34" s="35">
        <v>2020</v>
      </c>
      <c r="AJ34" s="35">
        <v>2020</v>
      </c>
    </row>
    <row r="35" spans="1:36" s="20" customFormat="1" ht="61.5" x14ac:dyDescent="0.85">
      <c r="B35" s="70" t="s">
        <v>785</v>
      </c>
      <c r="C35" s="24"/>
      <c r="D35" s="68" t="s">
        <v>916</v>
      </c>
      <c r="E35" s="69">
        <f>AVERAGE(E36:E40)</f>
        <v>1.0075000000000001</v>
      </c>
      <c r="F35" s="31">
        <f>SUM(F36:F38)</f>
        <v>5860829.3999999994</v>
      </c>
      <c r="G35" s="31">
        <f t="shared" ref="G35:AG35" si="9">SUM(G36:G38)</f>
        <v>0</v>
      </c>
      <c r="H35" s="31">
        <f t="shared" si="9"/>
        <v>0</v>
      </c>
      <c r="I35" s="31">
        <f t="shared" si="9"/>
        <v>0</v>
      </c>
      <c r="J35" s="31">
        <f t="shared" si="9"/>
        <v>0</v>
      </c>
      <c r="K35" s="31">
        <f t="shared" si="9"/>
        <v>0</v>
      </c>
      <c r="L35" s="31">
        <f t="shared" si="9"/>
        <v>0</v>
      </c>
      <c r="M35" s="76">
        <f t="shared" si="9"/>
        <v>0</v>
      </c>
      <c r="N35" s="31">
        <f t="shared" si="9"/>
        <v>0</v>
      </c>
      <c r="O35" s="31">
        <f t="shared" si="9"/>
        <v>1215.3400000000001</v>
      </c>
      <c r="P35" s="31">
        <f t="shared" si="9"/>
        <v>5547454.3900000006</v>
      </c>
      <c r="Q35" s="31">
        <f t="shared" si="9"/>
        <v>0</v>
      </c>
      <c r="R35" s="31">
        <f t="shared" si="9"/>
        <v>0</v>
      </c>
      <c r="S35" s="31">
        <f t="shared" si="9"/>
        <v>0</v>
      </c>
      <c r="T35" s="31">
        <f t="shared" si="9"/>
        <v>0</v>
      </c>
      <c r="U35" s="31">
        <f t="shared" si="9"/>
        <v>0</v>
      </c>
      <c r="V35" s="31">
        <f t="shared" si="9"/>
        <v>0</v>
      </c>
      <c r="W35" s="31">
        <f t="shared" si="9"/>
        <v>0</v>
      </c>
      <c r="X35" s="31">
        <f t="shared" si="9"/>
        <v>0</v>
      </c>
      <c r="Y35" s="31">
        <f t="shared" si="9"/>
        <v>0</v>
      </c>
      <c r="Z35" s="31">
        <f t="shared" si="9"/>
        <v>0</v>
      </c>
      <c r="AA35" s="31">
        <f t="shared" si="9"/>
        <v>0</v>
      </c>
      <c r="AB35" s="31">
        <f t="shared" si="9"/>
        <v>0</v>
      </c>
      <c r="AC35" s="31">
        <f t="shared" si="9"/>
        <v>0</v>
      </c>
      <c r="AD35" s="31">
        <f t="shared" si="9"/>
        <v>0</v>
      </c>
      <c r="AE35" s="67">
        <f t="shared" si="9"/>
        <v>83211.819999999992</v>
      </c>
      <c r="AF35" s="67">
        <f t="shared" si="9"/>
        <v>230163.19</v>
      </c>
      <c r="AG35" s="68">
        <f t="shared" si="9"/>
        <v>0</v>
      </c>
      <c r="AH35" s="35" t="s">
        <v>916</v>
      </c>
      <c r="AI35" s="35" t="s">
        <v>916</v>
      </c>
      <c r="AJ35" s="35" t="s">
        <v>916</v>
      </c>
    </row>
    <row r="36" spans="1:36" s="20" customFormat="1" ht="61.5" x14ac:dyDescent="0.85">
      <c r="A36" s="20">
        <v>1</v>
      </c>
      <c r="B36" s="66">
        <f>SUBTOTAL(103,$A$13:A36)</f>
        <v>17</v>
      </c>
      <c r="C36" s="24" t="s">
        <v>1055</v>
      </c>
      <c r="D36" s="68" t="s">
        <v>1068</v>
      </c>
      <c r="E36" s="69">
        <v>1.0043</v>
      </c>
      <c r="F36" s="31">
        <f t="shared" si="3"/>
        <v>1040984.0299999999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76">
        <v>0</v>
      </c>
      <c r="N36" s="31">
        <v>0</v>
      </c>
      <c r="O36" s="31">
        <v>206.34</v>
      </c>
      <c r="P36" s="31">
        <v>972873.11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67">
        <f>ROUND(P36*1.5%,2)</f>
        <v>14593.1</v>
      </c>
      <c r="AF36" s="67">
        <v>53517.82</v>
      </c>
      <c r="AG36" s="67">
        <v>0</v>
      </c>
      <c r="AH36" s="35">
        <v>2020</v>
      </c>
      <c r="AI36" s="35">
        <v>2020</v>
      </c>
      <c r="AJ36" s="35">
        <v>2020</v>
      </c>
    </row>
    <row r="37" spans="1:36" s="20" customFormat="1" ht="61.5" x14ac:dyDescent="0.85">
      <c r="A37" s="20">
        <v>1</v>
      </c>
      <c r="B37" s="66">
        <f>SUBTOTAL(103,$A$13:A37)</f>
        <v>18</v>
      </c>
      <c r="C37" s="24" t="s">
        <v>809</v>
      </c>
      <c r="D37" s="68" t="s">
        <v>1068</v>
      </c>
      <c r="E37" s="69">
        <v>1.0185999999999999</v>
      </c>
      <c r="F37" s="31">
        <f t="shared" si="3"/>
        <v>2764152.46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76">
        <v>0</v>
      </c>
      <c r="N37" s="31">
        <v>0</v>
      </c>
      <c r="O37" s="31">
        <v>576</v>
      </c>
      <c r="P37" s="31">
        <v>2625418.7200000002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67">
        <f>ROUND(P37*1.5%,2)</f>
        <v>39381.279999999999</v>
      </c>
      <c r="AF37" s="67">
        <v>99352.46</v>
      </c>
      <c r="AG37" s="67">
        <v>0</v>
      </c>
      <c r="AH37" s="35">
        <v>2020</v>
      </c>
      <c r="AI37" s="35">
        <v>2020</v>
      </c>
      <c r="AJ37" s="35">
        <v>2020</v>
      </c>
    </row>
    <row r="38" spans="1:36" s="20" customFormat="1" ht="61.5" x14ac:dyDescent="0.85">
      <c r="A38" s="20">
        <v>1</v>
      </c>
      <c r="B38" s="66">
        <f>SUBTOTAL(103,$A$13:A38)</f>
        <v>19</v>
      </c>
      <c r="C38" s="24" t="s">
        <v>801</v>
      </c>
      <c r="D38" s="68" t="s">
        <v>1068</v>
      </c>
      <c r="E38" s="69">
        <v>1.0064</v>
      </c>
      <c r="F38" s="31">
        <f t="shared" si="3"/>
        <v>2055692.91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76">
        <v>0</v>
      </c>
      <c r="N38" s="31">
        <v>0</v>
      </c>
      <c r="O38" s="31">
        <v>433</v>
      </c>
      <c r="P38" s="31">
        <v>1949162.56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67">
        <f>ROUND(P38*1.5%,2)</f>
        <v>29237.439999999999</v>
      </c>
      <c r="AF38" s="67">
        <v>77292.91</v>
      </c>
      <c r="AG38" s="67">
        <v>0</v>
      </c>
      <c r="AH38" s="35">
        <v>2020</v>
      </c>
      <c r="AI38" s="35">
        <v>2020</v>
      </c>
      <c r="AJ38" s="35">
        <v>2020</v>
      </c>
    </row>
    <row r="39" spans="1:36" s="20" customFormat="1" ht="61.5" x14ac:dyDescent="0.85">
      <c r="B39" s="70" t="s">
        <v>863</v>
      </c>
      <c r="C39" s="24"/>
      <c r="D39" s="68" t="s">
        <v>916</v>
      </c>
      <c r="E39" s="69">
        <f>AVERAGE(E40)</f>
        <v>1.0041</v>
      </c>
      <c r="F39" s="31">
        <f>F40</f>
        <v>2154384</v>
      </c>
      <c r="G39" s="31">
        <f t="shared" ref="G39:AG39" si="10">G40</f>
        <v>0</v>
      </c>
      <c r="H39" s="31">
        <f t="shared" si="10"/>
        <v>0</v>
      </c>
      <c r="I39" s="31">
        <f t="shared" si="10"/>
        <v>0</v>
      </c>
      <c r="J39" s="31">
        <f t="shared" si="10"/>
        <v>0</v>
      </c>
      <c r="K39" s="31">
        <f t="shared" si="10"/>
        <v>0</v>
      </c>
      <c r="L39" s="31">
        <f t="shared" si="10"/>
        <v>0</v>
      </c>
      <c r="M39" s="76">
        <f t="shared" si="10"/>
        <v>0</v>
      </c>
      <c r="N39" s="31">
        <f t="shared" si="10"/>
        <v>0</v>
      </c>
      <c r="O39" s="31">
        <f t="shared" si="10"/>
        <v>448.83</v>
      </c>
      <c r="P39" s="31">
        <f t="shared" si="10"/>
        <v>2033875.86</v>
      </c>
      <c r="Q39" s="31">
        <f t="shared" si="10"/>
        <v>0</v>
      </c>
      <c r="R39" s="31">
        <f t="shared" si="10"/>
        <v>0</v>
      </c>
      <c r="S39" s="31">
        <f t="shared" si="10"/>
        <v>0</v>
      </c>
      <c r="T39" s="31">
        <f t="shared" si="10"/>
        <v>0</v>
      </c>
      <c r="U39" s="31">
        <f t="shared" si="10"/>
        <v>0</v>
      </c>
      <c r="V39" s="31">
        <f t="shared" si="10"/>
        <v>0</v>
      </c>
      <c r="W39" s="31">
        <f t="shared" si="10"/>
        <v>0</v>
      </c>
      <c r="X39" s="31">
        <f t="shared" si="10"/>
        <v>0</v>
      </c>
      <c r="Y39" s="31">
        <f t="shared" si="10"/>
        <v>0</v>
      </c>
      <c r="Z39" s="31">
        <f t="shared" si="10"/>
        <v>0</v>
      </c>
      <c r="AA39" s="31">
        <f t="shared" si="10"/>
        <v>0</v>
      </c>
      <c r="AB39" s="31">
        <f t="shared" si="10"/>
        <v>0</v>
      </c>
      <c r="AC39" s="31">
        <f t="shared" si="10"/>
        <v>0</v>
      </c>
      <c r="AD39" s="31">
        <f t="shared" si="10"/>
        <v>0</v>
      </c>
      <c r="AE39" s="67">
        <f t="shared" si="10"/>
        <v>30508.14</v>
      </c>
      <c r="AF39" s="67">
        <f t="shared" si="10"/>
        <v>90000</v>
      </c>
      <c r="AG39" s="68">
        <f t="shared" si="10"/>
        <v>0</v>
      </c>
      <c r="AH39" s="35" t="s">
        <v>916</v>
      </c>
      <c r="AI39" s="35" t="s">
        <v>916</v>
      </c>
      <c r="AJ39" s="35" t="s">
        <v>916</v>
      </c>
    </row>
    <row r="40" spans="1:36" s="20" customFormat="1" ht="61.5" x14ac:dyDescent="0.85">
      <c r="A40" s="20">
        <v>1</v>
      </c>
      <c r="B40" s="66">
        <f>SUBTOTAL(103,$A$13:A40)</f>
        <v>20</v>
      </c>
      <c r="C40" s="24" t="s">
        <v>1056</v>
      </c>
      <c r="D40" s="68" t="s">
        <v>1067</v>
      </c>
      <c r="E40" s="69">
        <v>1.0041</v>
      </c>
      <c r="F40" s="31">
        <f t="shared" si="3"/>
        <v>2154384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76">
        <v>0</v>
      </c>
      <c r="N40" s="31">
        <v>0</v>
      </c>
      <c r="O40" s="31">
        <v>448.83</v>
      </c>
      <c r="P40" s="31">
        <v>2033875.86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67">
        <f>ROUND(P40*1.5%,2)</f>
        <v>30508.14</v>
      </c>
      <c r="AF40" s="67">
        <v>90000</v>
      </c>
      <c r="AG40" s="67">
        <v>0</v>
      </c>
      <c r="AH40" s="35">
        <v>2020</v>
      </c>
      <c r="AI40" s="35">
        <v>2020</v>
      </c>
      <c r="AJ40" s="35">
        <v>2020</v>
      </c>
    </row>
    <row r="41" spans="1:36" s="20" customFormat="1" ht="61.5" x14ac:dyDescent="0.85">
      <c r="B41" s="70" t="s">
        <v>865</v>
      </c>
      <c r="C41" s="24"/>
      <c r="D41" s="68" t="s">
        <v>916</v>
      </c>
      <c r="E41" s="69">
        <f>AVERAGE(E42)</f>
        <v>1</v>
      </c>
      <c r="F41" s="31">
        <f>F42</f>
        <v>5688174.9500000002</v>
      </c>
      <c r="G41" s="31">
        <f t="shared" ref="G41:AG41" si="11">G42</f>
        <v>0</v>
      </c>
      <c r="H41" s="31">
        <f t="shared" si="11"/>
        <v>0</v>
      </c>
      <c r="I41" s="31">
        <f t="shared" si="11"/>
        <v>0</v>
      </c>
      <c r="J41" s="31">
        <f t="shared" si="11"/>
        <v>0</v>
      </c>
      <c r="K41" s="31">
        <f t="shared" si="11"/>
        <v>0</v>
      </c>
      <c r="L41" s="31">
        <f t="shared" si="11"/>
        <v>0</v>
      </c>
      <c r="M41" s="76">
        <f t="shared" si="11"/>
        <v>0</v>
      </c>
      <c r="N41" s="31">
        <f t="shared" si="11"/>
        <v>0</v>
      </c>
      <c r="O41" s="31">
        <f t="shared" si="11"/>
        <v>1110</v>
      </c>
      <c r="P41" s="31">
        <f t="shared" si="11"/>
        <v>5456330</v>
      </c>
      <c r="Q41" s="31">
        <f t="shared" si="11"/>
        <v>0</v>
      </c>
      <c r="R41" s="31">
        <f t="shared" si="11"/>
        <v>0</v>
      </c>
      <c r="S41" s="31">
        <f t="shared" si="11"/>
        <v>0</v>
      </c>
      <c r="T41" s="31">
        <f t="shared" si="11"/>
        <v>0</v>
      </c>
      <c r="U41" s="31">
        <f t="shared" si="11"/>
        <v>0</v>
      </c>
      <c r="V41" s="31">
        <f t="shared" si="11"/>
        <v>0</v>
      </c>
      <c r="W41" s="31">
        <f t="shared" si="11"/>
        <v>0</v>
      </c>
      <c r="X41" s="31">
        <f t="shared" si="11"/>
        <v>0</v>
      </c>
      <c r="Y41" s="31">
        <f t="shared" si="11"/>
        <v>0</v>
      </c>
      <c r="Z41" s="31">
        <f t="shared" si="11"/>
        <v>0</v>
      </c>
      <c r="AA41" s="31">
        <f t="shared" si="11"/>
        <v>0</v>
      </c>
      <c r="AB41" s="31">
        <f t="shared" si="11"/>
        <v>0</v>
      </c>
      <c r="AC41" s="31">
        <f t="shared" si="11"/>
        <v>0</v>
      </c>
      <c r="AD41" s="31">
        <f t="shared" si="11"/>
        <v>0</v>
      </c>
      <c r="AE41" s="67">
        <f t="shared" si="11"/>
        <v>81844.95</v>
      </c>
      <c r="AF41" s="67">
        <f t="shared" si="11"/>
        <v>150000</v>
      </c>
      <c r="AG41" s="68">
        <f t="shared" si="11"/>
        <v>0</v>
      </c>
      <c r="AH41" s="35" t="s">
        <v>916</v>
      </c>
      <c r="AI41" s="35" t="s">
        <v>916</v>
      </c>
      <c r="AJ41" s="35" t="s">
        <v>916</v>
      </c>
    </row>
    <row r="42" spans="1:36" s="20" customFormat="1" ht="61.5" x14ac:dyDescent="0.85">
      <c r="A42" s="20">
        <v>1</v>
      </c>
      <c r="B42" s="66">
        <f>SUBTOTAL(103,$A$13:A42)</f>
        <v>21</v>
      </c>
      <c r="C42" s="24" t="s">
        <v>1057</v>
      </c>
      <c r="D42" s="68" t="s">
        <v>1069</v>
      </c>
      <c r="E42" s="69">
        <v>1</v>
      </c>
      <c r="F42" s="31">
        <f t="shared" si="3"/>
        <v>5688174.9500000002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76">
        <v>0</v>
      </c>
      <c r="N42" s="31">
        <v>0</v>
      </c>
      <c r="O42" s="31">
        <v>1110</v>
      </c>
      <c r="P42" s="31">
        <v>5456330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67">
        <f>ROUND(P42*1.5%,2)</f>
        <v>81844.95</v>
      </c>
      <c r="AF42" s="67">
        <v>150000</v>
      </c>
      <c r="AG42" s="67">
        <v>0</v>
      </c>
      <c r="AH42" s="35">
        <v>2020</v>
      </c>
      <c r="AI42" s="35">
        <v>2020</v>
      </c>
      <c r="AJ42" s="35">
        <v>2020</v>
      </c>
    </row>
    <row r="43" spans="1:36" s="20" customFormat="1" ht="61.5" x14ac:dyDescent="0.85">
      <c r="B43" s="70" t="s">
        <v>1076</v>
      </c>
      <c r="C43" s="24"/>
      <c r="D43" s="68" t="s">
        <v>916</v>
      </c>
      <c r="E43" s="69">
        <f>AVERAGE(E44:E46)</f>
        <v>1.0093333333333334</v>
      </c>
      <c r="F43" s="31">
        <f t="shared" ref="F43:AG43" si="12">SUM(F44:F46)</f>
        <v>7525674.8200000003</v>
      </c>
      <c r="G43" s="31">
        <f t="shared" si="12"/>
        <v>0</v>
      </c>
      <c r="H43" s="31">
        <f t="shared" si="12"/>
        <v>0</v>
      </c>
      <c r="I43" s="31">
        <f t="shared" si="12"/>
        <v>0</v>
      </c>
      <c r="J43" s="31">
        <f t="shared" si="12"/>
        <v>0</v>
      </c>
      <c r="K43" s="31">
        <f t="shared" si="12"/>
        <v>0</v>
      </c>
      <c r="L43" s="31">
        <f t="shared" si="12"/>
        <v>0</v>
      </c>
      <c r="M43" s="76">
        <f t="shared" si="12"/>
        <v>0</v>
      </c>
      <c r="N43" s="31">
        <f t="shared" si="12"/>
        <v>0</v>
      </c>
      <c r="O43" s="31">
        <f t="shared" si="12"/>
        <v>1458</v>
      </c>
      <c r="P43" s="31">
        <f t="shared" si="12"/>
        <v>7212515.6699999999</v>
      </c>
      <c r="Q43" s="31">
        <f t="shared" si="12"/>
        <v>0</v>
      </c>
      <c r="R43" s="31">
        <f t="shared" si="12"/>
        <v>0</v>
      </c>
      <c r="S43" s="31">
        <f t="shared" si="12"/>
        <v>0</v>
      </c>
      <c r="T43" s="31">
        <f t="shared" si="12"/>
        <v>0</v>
      </c>
      <c r="U43" s="31">
        <f t="shared" si="12"/>
        <v>0</v>
      </c>
      <c r="V43" s="31">
        <f t="shared" si="12"/>
        <v>0</v>
      </c>
      <c r="W43" s="31">
        <f t="shared" si="12"/>
        <v>0</v>
      </c>
      <c r="X43" s="31">
        <f t="shared" si="12"/>
        <v>0</v>
      </c>
      <c r="Y43" s="31">
        <f t="shared" si="12"/>
        <v>0</v>
      </c>
      <c r="Z43" s="31">
        <f t="shared" si="12"/>
        <v>0</v>
      </c>
      <c r="AA43" s="31">
        <f t="shared" si="12"/>
        <v>0</v>
      </c>
      <c r="AB43" s="31">
        <f t="shared" si="12"/>
        <v>0</v>
      </c>
      <c r="AC43" s="31">
        <f t="shared" si="12"/>
        <v>0</v>
      </c>
      <c r="AD43" s="31">
        <f t="shared" si="12"/>
        <v>0</v>
      </c>
      <c r="AE43" s="67">
        <f t="shared" si="12"/>
        <v>108187.74</v>
      </c>
      <c r="AF43" s="67">
        <f t="shared" si="12"/>
        <v>204971.41</v>
      </c>
      <c r="AG43" s="68">
        <f t="shared" si="12"/>
        <v>0</v>
      </c>
      <c r="AH43" s="35" t="s">
        <v>916</v>
      </c>
      <c r="AI43" s="35" t="s">
        <v>916</v>
      </c>
      <c r="AJ43" s="35" t="s">
        <v>916</v>
      </c>
    </row>
    <row r="44" spans="1:36" s="20" customFormat="1" ht="61.5" x14ac:dyDescent="0.85">
      <c r="A44" s="20">
        <v>1</v>
      </c>
      <c r="B44" s="66">
        <f>SUBTOTAL(103,$A$13:A44)</f>
        <v>22</v>
      </c>
      <c r="C44" s="24" t="s">
        <v>1058</v>
      </c>
      <c r="D44" s="68" t="s">
        <v>1071</v>
      </c>
      <c r="E44" s="69">
        <v>1.0093000000000001</v>
      </c>
      <c r="F44" s="31">
        <f t="shared" si="3"/>
        <v>2441426.8199999998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76">
        <v>0</v>
      </c>
      <c r="N44" s="31">
        <v>0</v>
      </c>
      <c r="O44" s="31">
        <v>500</v>
      </c>
      <c r="P44" s="31">
        <v>2338270.38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67">
        <f>ROUND(P44*1.5%,2)</f>
        <v>35074.06</v>
      </c>
      <c r="AF44" s="67">
        <v>68082.38</v>
      </c>
      <c r="AG44" s="67">
        <v>0</v>
      </c>
      <c r="AH44" s="35">
        <v>2020</v>
      </c>
      <c r="AI44" s="35">
        <v>2020</v>
      </c>
      <c r="AJ44" s="35">
        <v>2020</v>
      </c>
    </row>
    <row r="45" spans="1:36" s="20" customFormat="1" ht="61.5" x14ac:dyDescent="0.85">
      <c r="A45" s="20">
        <v>1</v>
      </c>
      <c r="B45" s="66">
        <f>SUBTOTAL(103,$A$13:A45)</f>
        <v>23</v>
      </c>
      <c r="C45" s="24" t="s">
        <v>1059</v>
      </c>
      <c r="D45" s="68" t="s">
        <v>1067</v>
      </c>
      <c r="E45" s="69">
        <v>1.0031000000000001</v>
      </c>
      <c r="F45" s="31">
        <f t="shared" si="3"/>
        <v>2319594.85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76">
        <v>0</v>
      </c>
      <c r="N45" s="31">
        <v>0</v>
      </c>
      <c r="O45" s="31">
        <v>489</v>
      </c>
      <c r="P45" s="31">
        <v>2213990.15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67">
        <f>ROUND(P45*1.5%,2)</f>
        <v>33209.85</v>
      </c>
      <c r="AF45" s="67">
        <v>72394.850000000006</v>
      </c>
      <c r="AG45" s="67">
        <v>0</v>
      </c>
      <c r="AH45" s="35">
        <v>2020</v>
      </c>
      <c r="AI45" s="35">
        <v>2020</v>
      </c>
      <c r="AJ45" s="35">
        <v>2020</v>
      </c>
    </row>
    <row r="46" spans="1:36" s="20" customFormat="1" ht="61.5" x14ac:dyDescent="0.85">
      <c r="A46" s="20">
        <v>1</v>
      </c>
      <c r="B46" s="66">
        <f>SUBTOTAL(103,$A$13:A46)</f>
        <v>24</v>
      </c>
      <c r="C46" s="24" t="s">
        <v>1060</v>
      </c>
      <c r="D46" s="68" t="s">
        <v>1070</v>
      </c>
      <c r="E46" s="69">
        <v>1.0156000000000001</v>
      </c>
      <c r="F46" s="31">
        <f t="shared" si="3"/>
        <v>2764653.1500000004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76">
        <v>0</v>
      </c>
      <c r="N46" s="31">
        <v>0</v>
      </c>
      <c r="O46" s="31">
        <v>469</v>
      </c>
      <c r="P46" s="31">
        <v>2660255.14</v>
      </c>
      <c r="Q46" s="31">
        <v>0</v>
      </c>
      <c r="R46" s="31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67">
        <f>ROUND(P46*1.5%,2)</f>
        <v>39903.83</v>
      </c>
      <c r="AF46" s="67">
        <v>64494.18</v>
      </c>
      <c r="AG46" s="67">
        <v>0</v>
      </c>
      <c r="AH46" s="35">
        <v>2020</v>
      </c>
      <c r="AI46" s="35">
        <v>2020</v>
      </c>
      <c r="AJ46" s="35">
        <v>2020</v>
      </c>
    </row>
    <row r="47" spans="1:36" s="20" customFormat="1" ht="61.5" x14ac:dyDescent="0.85">
      <c r="B47" s="70" t="s">
        <v>1077</v>
      </c>
      <c r="C47" s="24"/>
      <c r="D47" s="68" t="s">
        <v>916</v>
      </c>
      <c r="E47" s="69">
        <f>AVERAGE(E48)</f>
        <v>1</v>
      </c>
      <c r="F47" s="31">
        <f>F48</f>
        <v>3834600</v>
      </c>
      <c r="G47" s="31">
        <f t="shared" ref="G47:AG47" si="13">G48</f>
        <v>0</v>
      </c>
      <c r="H47" s="31">
        <f t="shared" si="13"/>
        <v>0</v>
      </c>
      <c r="I47" s="31">
        <f t="shared" si="13"/>
        <v>0</v>
      </c>
      <c r="J47" s="31">
        <f t="shared" si="13"/>
        <v>0</v>
      </c>
      <c r="K47" s="31">
        <f t="shared" si="13"/>
        <v>0</v>
      </c>
      <c r="L47" s="31">
        <f t="shared" si="13"/>
        <v>0</v>
      </c>
      <c r="M47" s="76">
        <f t="shared" si="13"/>
        <v>0</v>
      </c>
      <c r="N47" s="31">
        <f t="shared" si="13"/>
        <v>0</v>
      </c>
      <c r="O47" s="31">
        <f t="shared" si="13"/>
        <v>766.92</v>
      </c>
      <c r="P47" s="31">
        <f t="shared" si="13"/>
        <v>3659704.43</v>
      </c>
      <c r="Q47" s="31">
        <f t="shared" si="13"/>
        <v>0</v>
      </c>
      <c r="R47" s="31">
        <f t="shared" si="13"/>
        <v>0</v>
      </c>
      <c r="S47" s="31">
        <f t="shared" si="13"/>
        <v>0</v>
      </c>
      <c r="T47" s="31">
        <f t="shared" si="13"/>
        <v>0</v>
      </c>
      <c r="U47" s="31">
        <f t="shared" si="13"/>
        <v>0</v>
      </c>
      <c r="V47" s="31">
        <f t="shared" si="13"/>
        <v>0</v>
      </c>
      <c r="W47" s="31">
        <f t="shared" si="13"/>
        <v>0</v>
      </c>
      <c r="X47" s="31">
        <f t="shared" si="13"/>
        <v>0</v>
      </c>
      <c r="Y47" s="31">
        <f t="shared" si="13"/>
        <v>0</v>
      </c>
      <c r="Z47" s="31">
        <f t="shared" si="13"/>
        <v>0</v>
      </c>
      <c r="AA47" s="31">
        <f t="shared" si="13"/>
        <v>0</v>
      </c>
      <c r="AB47" s="31">
        <f t="shared" si="13"/>
        <v>0</v>
      </c>
      <c r="AC47" s="31">
        <f t="shared" si="13"/>
        <v>0</v>
      </c>
      <c r="AD47" s="31">
        <f t="shared" si="13"/>
        <v>0</v>
      </c>
      <c r="AE47" s="67">
        <f t="shared" si="13"/>
        <v>54895.57</v>
      </c>
      <c r="AF47" s="67">
        <f t="shared" si="13"/>
        <v>120000</v>
      </c>
      <c r="AG47" s="68">
        <f t="shared" si="13"/>
        <v>0</v>
      </c>
      <c r="AH47" s="35" t="s">
        <v>916</v>
      </c>
      <c r="AI47" s="35" t="s">
        <v>916</v>
      </c>
      <c r="AJ47" s="35" t="s">
        <v>916</v>
      </c>
    </row>
    <row r="48" spans="1:36" s="20" customFormat="1" ht="61.5" x14ac:dyDescent="0.85">
      <c r="A48" s="20">
        <v>1</v>
      </c>
      <c r="B48" s="66">
        <f>SUBTOTAL(103,$A$13:A48)</f>
        <v>25</v>
      </c>
      <c r="C48" s="24" t="s">
        <v>1065</v>
      </c>
      <c r="D48" s="68" t="s">
        <v>1066</v>
      </c>
      <c r="E48" s="69">
        <v>1</v>
      </c>
      <c r="F48" s="31">
        <f t="shared" si="3"/>
        <v>3834600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76">
        <v>0</v>
      </c>
      <c r="N48" s="31">
        <v>0</v>
      </c>
      <c r="O48" s="31">
        <v>766.92</v>
      </c>
      <c r="P48" s="31">
        <v>3659704.43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67">
        <f>ROUND(P48*1.5%,2)</f>
        <v>54895.57</v>
      </c>
      <c r="AF48" s="67">
        <v>120000</v>
      </c>
      <c r="AG48" s="67">
        <v>0</v>
      </c>
      <c r="AH48" s="35">
        <v>2020</v>
      </c>
      <c r="AI48" s="35">
        <v>2020</v>
      </c>
      <c r="AJ48" s="35">
        <v>2020</v>
      </c>
    </row>
    <row r="49" spans="1:36" s="20" customFormat="1" ht="61.5" x14ac:dyDescent="0.85">
      <c r="B49" s="70" t="s">
        <v>876</v>
      </c>
      <c r="C49" s="24"/>
      <c r="D49" s="68" t="s">
        <v>916</v>
      </c>
      <c r="E49" s="69">
        <f>AVERAGE(E50)</f>
        <v>1.008</v>
      </c>
      <c r="F49" s="31">
        <f>F50</f>
        <v>1692000</v>
      </c>
      <c r="G49" s="31">
        <f t="shared" ref="G49:AG49" si="14">G50</f>
        <v>0</v>
      </c>
      <c r="H49" s="31">
        <f t="shared" si="14"/>
        <v>0</v>
      </c>
      <c r="I49" s="31">
        <f t="shared" si="14"/>
        <v>0</v>
      </c>
      <c r="J49" s="31">
        <f t="shared" si="14"/>
        <v>0</v>
      </c>
      <c r="K49" s="31">
        <f t="shared" si="14"/>
        <v>0</v>
      </c>
      <c r="L49" s="31">
        <f t="shared" si="14"/>
        <v>0</v>
      </c>
      <c r="M49" s="76">
        <f t="shared" si="14"/>
        <v>0</v>
      </c>
      <c r="N49" s="31">
        <f t="shared" si="14"/>
        <v>0</v>
      </c>
      <c r="O49" s="31">
        <f t="shared" si="14"/>
        <v>352.5</v>
      </c>
      <c r="P49" s="31">
        <f t="shared" si="14"/>
        <v>1578325.12</v>
      </c>
      <c r="Q49" s="31">
        <f t="shared" si="14"/>
        <v>0</v>
      </c>
      <c r="R49" s="31">
        <f t="shared" si="14"/>
        <v>0</v>
      </c>
      <c r="S49" s="31">
        <f t="shared" si="14"/>
        <v>0</v>
      </c>
      <c r="T49" s="31">
        <f t="shared" si="14"/>
        <v>0</v>
      </c>
      <c r="U49" s="31">
        <f t="shared" si="14"/>
        <v>0</v>
      </c>
      <c r="V49" s="31">
        <f t="shared" si="14"/>
        <v>0</v>
      </c>
      <c r="W49" s="31">
        <f t="shared" si="14"/>
        <v>0</v>
      </c>
      <c r="X49" s="31">
        <f t="shared" si="14"/>
        <v>0</v>
      </c>
      <c r="Y49" s="31">
        <f t="shared" si="14"/>
        <v>0</v>
      </c>
      <c r="Z49" s="31">
        <f t="shared" si="14"/>
        <v>0</v>
      </c>
      <c r="AA49" s="31">
        <f t="shared" si="14"/>
        <v>0</v>
      </c>
      <c r="AB49" s="31">
        <f t="shared" si="14"/>
        <v>0</v>
      </c>
      <c r="AC49" s="31">
        <f t="shared" si="14"/>
        <v>0</v>
      </c>
      <c r="AD49" s="31">
        <f t="shared" si="14"/>
        <v>0</v>
      </c>
      <c r="AE49" s="67">
        <f t="shared" si="14"/>
        <v>23674.880000000001</v>
      </c>
      <c r="AF49" s="67">
        <f t="shared" si="14"/>
        <v>90000</v>
      </c>
      <c r="AG49" s="68">
        <f t="shared" si="14"/>
        <v>0</v>
      </c>
      <c r="AH49" s="35" t="s">
        <v>916</v>
      </c>
      <c r="AI49" s="35" t="s">
        <v>916</v>
      </c>
      <c r="AJ49" s="35" t="s">
        <v>916</v>
      </c>
    </row>
    <row r="50" spans="1:36" s="20" customFormat="1" ht="61.5" x14ac:dyDescent="0.85">
      <c r="A50" s="20">
        <v>1</v>
      </c>
      <c r="B50" s="66">
        <f>SUBTOTAL(103,$A$13:A50)</f>
        <v>26</v>
      </c>
      <c r="C50" s="24" t="s">
        <v>1061</v>
      </c>
      <c r="D50" s="68" t="s">
        <v>1067</v>
      </c>
      <c r="E50" s="69">
        <v>1.008</v>
      </c>
      <c r="F50" s="31">
        <f t="shared" si="3"/>
        <v>1692000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76">
        <v>0</v>
      </c>
      <c r="N50" s="31">
        <v>0</v>
      </c>
      <c r="O50" s="31">
        <v>352.5</v>
      </c>
      <c r="P50" s="31">
        <v>1578325.12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67">
        <f>ROUND(P50*1.5%,2)</f>
        <v>23674.880000000001</v>
      </c>
      <c r="AF50" s="67">
        <v>90000</v>
      </c>
      <c r="AG50" s="67">
        <v>0</v>
      </c>
      <c r="AH50" s="35">
        <v>2020</v>
      </c>
      <c r="AI50" s="35">
        <v>2020</v>
      </c>
      <c r="AJ50" s="35">
        <v>2020</v>
      </c>
    </row>
    <row r="51" spans="1:36" s="20" customFormat="1" ht="61.5" x14ac:dyDescent="0.85">
      <c r="B51" s="70" t="s">
        <v>882</v>
      </c>
      <c r="C51" s="24"/>
      <c r="D51" s="68" t="s">
        <v>916</v>
      </c>
      <c r="E51" s="69">
        <f>AVERAGE(E52)</f>
        <v>1.0001</v>
      </c>
      <c r="F51" s="31">
        <f>F52</f>
        <v>3214510.5</v>
      </c>
      <c r="G51" s="31">
        <f t="shared" ref="G51:AG51" si="15">G52</f>
        <v>0</v>
      </c>
      <c r="H51" s="31">
        <f t="shared" si="15"/>
        <v>0</v>
      </c>
      <c r="I51" s="31">
        <f t="shared" si="15"/>
        <v>0</v>
      </c>
      <c r="J51" s="31">
        <f t="shared" si="15"/>
        <v>0</v>
      </c>
      <c r="K51" s="31">
        <f t="shared" si="15"/>
        <v>0</v>
      </c>
      <c r="L51" s="31">
        <f t="shared" si="15"/>
        <v>0</v>
      </c>
      <c r="M51" s="76">
        <f t="shared" si="15"/>
        <v>0</v>
      </c>
      <c r="N51" s="31">
        <f t="shared" si="15"/>
        <v>0</v>
      </c>
      <c r="O51" s="31">
        <f t="shared" si="15"/>
        <v>770</v>
      </c>
      <c r="P51" s="31">
        <f t="shared" si="15"/>
        <v>3070274</v>
      </c>
      <c r="Q51" s="31">
        <f t="shared" si="15"/>
        <v>0</v>
      </c>
      <c r="R51" s="31">
        <f t="shared" si="15"/>
        <v>0</v>
      </c>
      <c r="S51" s="31">
        <f t="shared" si="15"/>
        <v>0</v>
      </c>
      <c r="T51" s="31">
        <f t="shared" si="15"/>
        <v>0</v>
      </c>
      <c r="U51" s="31">
        <f t="shared" si="15"/>
        <v>0</v>
      </c>
      <c r="V51" s="31">
        <f t="shared" si="15"/>
        <v>0</v>
      </c>
      <c r="W51" s="31">
        <f t="shared" si="15"/>
        <v>0</v>
      </c>
      <c r="X51" s="31">
        <f t="shared" si="15"/>
        <v>0</v>
      </c>
      <c r="Y51" s="31">
        <f t="shared" si="15"/>
        <v>0</v>
      </c>
      <c r="Z51" s="31">
        <f t="shared" si="15"/>
        <v>0</v>
      </c>
      <c r="AA51" s="31">
        <f t="shared" si="15"/>
        <v>0</v>
      </c>
      <c r="AB51" s="31">
        <f t="shared" si="15"/>
        <v>0</v>
      </c>
      <c r="AC51" s="31">
        <f t="shared" si="15"/>
        <v>0</v>
      </c>
      <c r="AD51" s="31">
        <f t="shared" si="15"/>
        <v>0</v>
      </c>
      <c r="AE51" s="67">
        <f t="shared" si="15"/>
        <v>46054.11</v>
      </c>
      <c r="AF51" s="67">
        <f t="shared" si="15"/>
        <v>98182.39</v>
      </c>
      <c r="AG51" s="68">
        <f t="shared" si="15"/>
        <v>0</v>
      </c>
      <c r="AH51" s="35" t="s">
        <v>916</v>
      </c>
      <c r="AI51" s="35" t="s">
        <v>916</v>
      </c>
      <c r="AJ51" s="35" t="s">
        <v>916</v>
      </c>
    </row>
    <row r="52" spans="1:36" s="20" customFormat="1" ht="61.5" x14ac:dyDescent="0.85">
      <c r="A52" s="20">
        <v>1</v>
      </c>
      <c r="B52" s="66">
        <f>SUBTOTAL(103,$A$13:A52)</f>
        <v>27</v>
      </c>
      <c r="C52" s="24" t="s">
        <v>1064</v>
      </c>
      <c r="D52" s="68" t="s">
        <v>1069</v>
      </c>
      <c r="E52" s="69">
        <v>1.0001</v>
      </c>
      <c r="F52" s="31">
        <f t="shared" si="3"/>
        <v>3214510.5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76">
        <v>0</v>
      </c>
      <c r="N52" s="31">
        <v>0</v>
      </c>
      <c r="O52" s="31">
        <v>770</v>
      </c>
      <c r="P52" s="31">
        <v>3070274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67">
        <f>ROUND(P52*1.5%,2)</f>
        <v>46054.11</v>
      </c>
      <c r="AF52" s="67">
        <v>98182.39</v>
      </c>
      <c r="AG52" s="67">
        <v>0</v>
      </c>
      <c r="AH52" s="35">
        <v>2020</v>
      </c>
      <c r="AI52" s="35">
        <v>2020</v>
      </c>
      <c r="AJ52" s="35">
        <v>2020</v>
      </c>
    </row>
    <row r="53" spans="1:36" s="20" customFormat="1" ht="61.5" x14ac:dyDescent="0.85">
      <c r="B53" s="70" t="s">
        <v>884</v>
      </c>
      <c r="C53" s="24"/>
      <c r="D53" s="68" t="s">
        <v>916</v>
      </c>
      <c r="E53" s="69">
        <f>AVERAGE(E54:E55)</f>
        <v>1.0058</v>
      </c>
      <c r="F53" s="31">
        <f>F55+F54+F56</f>
        <v>6200280.5599999996</v>
      </c>
      <c r="G53" s="31">
        <f t="shared" ref="G53:AG53" si="16">G55+G54+G56</f>
        <v>0</v>
      </c>
      <c r="H53" s="31">
        <f t="shared" si="16"/>
        <v>0</v>
      </c>
      <c r="I53" s="31">
        <f t="shared" si="16"/>
        <v>0</v>
      </c>
      <c r="J53" s="31">
        <f t="shared" si="16"/>
        <v>0</v>
      </c>
      <c r="K53" s="31">
        <f t="shared" si="16"/>
        <v>0</v>
      </c>
      <c r="L53" s="31">
        <f t="shared" si="16"/>
        <v>0</v>
      </c>
      <c r="M53" s="76">
        <f t="shared" si="16"/>
        <v>0</v>
      </c>
      <c r="N53" s="31">
        <f t="shared" si="16"/>
        <v>0</v>
      </c>
      <c r="O53" s="31">
        <f t="shared" si="16"/>
        <v>928.4</v>
      </c>
      <c r="P53" s="31">
        <f t="shared" si="16"/>
        <v>3778686.35</v>
      </c>
      <c r="Q53" s="31">
        <f t="shared" si="16"/>
        <v>0</v>
      </c>
      <c r="R53" s="31">
        <f t="shared" si="16"/>
        <v>0</v>
      </c>
      <c r="S53" s="31">
        <f t="shared" si="16"/>
        <v>267.3</v>
      </c>
      <c r="T53" s="31">
        <f t="shared" si="16"/>
        <v>2246773.7400000002</v>
      </c>
      <c r="U53" s="31">
        <f t="shared" si="16"/>
        <v>0</v>
      </c>
      <c r="V53" s="31">
        <f t="shared" si="16"/>
        <v>0</v>
      </c>
      <c r="W53" s="31">
        <f t="shared" si="16"/>
        <v>0</v>
      </c>
      <c r="X53" s="31">
        <f t="shared" si="16"/>
        <v>0</v>
      </c>
      <c r="Y53" s="31">
        <f t="shared" si="16"/>
        <v>0</v>
      </c>
      <c r="Z53" s="31">
        <f t="shared" si="16"/>
        <v>0</v>
      </c>
      <c r="AA53" s="31">
        <f t="shared" si="16"/>
        <v>0</v>
      </c>
      <c r="AB53" s="31">
        <f t="shared" si="16"/>
        <v>0</v>
      </c>
      <c r="AC53" s="31">
        <f t="shared" si="16"/>
        <v>0</v>
      </c>
      <c r="AD53" s="31">
        <f t="shared" si="16"/>
        <v>0</v>
      </c>
      <c r="AE53" s="31">
        <f t="shared" si="16"/>
        <v>90381.9</v>
      </c>
      <c r="AF53" s="31">
        <f t="shared" si="16"/>
        <v>84438.57</v>
      </c>
      <c r="AG53" s="68">
        <f t="shared" si="16"/>
        <v>0</v>
      </c>
      <c r="AH53" s="35" t="s">
        <v>916</v>
      </c>
      <c r="AI53" s="35" t="s">
        <v>916</v>
      </c>
      <c r="AJ53" s="35" t="s">
        <v>916</v>
      </c>
    </row>
    <row r="54" spans="1:36" s="20" customFormat="1" ht="61.5" x14ac:dyDescent="0.85">
      <c r="A54" s="20">
        <v>1</v>
      </c>
      <c r="B54" s="66">
        <f>SUBTOTAL(103,$A$13:A54)</f>
        <v>28</v>
      </c>
      <c r="C54" s="24" t="s">
        <v>1109</v>
      </c>
      <c r="D54" s="68" t="s">
        <v>1066</v>
      </c>
      <c r="E54" s="69">
        <v>1</v>
      </c>
      <c r="F54" s="31">
        <f>G54+H54+I54+J54+K54+L54+N54+P54+R54+T54+V54+W54+X54+Y54+Z54+AA54+AB54+AC54+AD54+AE54+AF54+AG54</f>
        <v>2125397.4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76">
        <v>0</v>
      </c>
      <c r="N54" s="31">
        <v>0</v>
      </c>
      <c r="O54" s="31">
        <v>602.9</v>
      </c>
      <c r="P54" s="31">
        <v>2093987.59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67">
        <f>ROUND(P54*1.5%,2)</f>
        <v>31409.81</v>
      </c>
      <c r="AF54" s="67">
        <v>0</v>
      </c>
      <c r="AG54" s="67">
        <v>0</v>
      </c>
      <c r="AH54" s="35" t="s">
        <v>274</v>
      </c>
      <c r="AI54" s="35">
        <v>2020</v>
      </c>
      <c r="AJ54" s="35">
        <v>2020</v>
      </c>
    </row>
    <row r="55" spans="1:36" s="20" customFormat="1" ht="61.5" x14ac:dyDescent="0.85">
      <c r="A55" s="20">
        <v>1</v>
      </c>
      <c r="B55" s="66">
        <f>SUBTOTAL(103,$A$13:A55)</f>
        <v>29</v>
      </c>
      <c r="C55" s="24" t="s">
        <v>1062</v>
      </c>
      <c r="D55" s="68" t="s">
        <v>1072</v>
      </c>
      <c r="E55" s="69">
        <v>1.0116000000000001</v>
      </c>
      <c r="F55" s="31">
        <f t="shared" si="3"/>
        <v>2324222.61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76">
        <v>0</v>
      </c>
      <c r="N55" s="31">
        <v>0</v>
      </c>
      <c r="O55" s="31">
        <v>0</v>
      </c>
      <c r="P55" s="31">
        <f>O55*4800</f>
        <v>0</v>
      </c>
      <c r="Q55" s="31">
        <v>0</v>
      </c>
      <c r="R55" s="31">
        <v>0</v>
      </c>
      <c r="S55" s="31">
        <v>267.3</v>
      </c>
      <c r="T55" s="31">
        <v>2246773.7400000002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67">
        <f>ROUND(T55*1.5%,2)</f>
        <v>33701.61</v>
      </c>
      <c r="AF55" s="67">
        <v>43747.26</v>
      </c>
      <c r="AG55" s="67">
        <v>0</v>
      </c>
      <c r="AH55" s="35">
        <v>2020</v>
      </c>
      <c r="AI55" s="35">
        <v>2020</v>
      </c>
      <c r="AJ55" s="35">
        <v>2020</v>
      </c>
    </row>
    <row r="56" spans="1:36" s="20" customFormat="1" ht="61.5" x14ac:dyDescent="0.85">
      <c r="A56" s="20">
        <v>1</v>
      </c>
      <c r="B56" s="66">
        <f>SUBTOTAL(103,$A$13:A56)</f>
        <v>30</v>
      </c>
      <c r="C56" s="24" t="s">
        <v>196</v>
      </c>
      <c r="D56" s="68" t="s">
        <v>1068</v>
      </c>
      <c r="E56" s="69">
        <v>1</v>
      </c>
      <c r="F56" s="31">
        <f t="shared" si="3"/>
        <v>1750660.55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76">
        <v>0</v>
      </c>
      <c r="N56" s="31">
        <v>0</v>
      </c>
      <c r="O56" s="31">
        <v>325.5</v>
      </c>
      <c r="P56" s="31">
        <v>1684698.76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67">
        <f>ROUND(P56*1.5%,2)</f>
        <v>25270.48</v>
      </c>
      <c r="AF56" s="67">
        <v>40691.31</v>
      </c>
      <c r="AG56" s="67">
        <v>0</v>
      </c>
      <c r="AH56" s="35">
        <v>2020</v>
      </c>
      <c r="AI56" s="35">
        <v>2020</v>
      </c>
      <c r="AJ56" s="35">
        <v>2020</v>
      </c>
    </row>
    <row r="57" spans="1:36" s="20" customFormat="1" ht="61.5" x14ac:dyDescent="0.85">
      <c r="B57" s="70" t="s">
        <v>883</v>
      </c>
      <c r="C57" s="24"/>
      <c r="D57" s="68" t="s">
        <v>916</v>
      </c>
      <c r="E57" s="69">
        <f>AVERAGE(E58)</f>
        <v>1</v>
      </c>
      <c r="F57" s="31">
        <f>F58</f>
        <v>2164797.61</v>
      </c>
      <c r="G57" s="31">
        <f t="shared" ref="G57:AG57" si="17">G58</f>
        <v>0</v>
      </c>
      <c r="H57" s="31">
        <f t="shared" si="17"/>
        <v>0</v>
      </c>
      <c r="I57" s="31">
        <f t="shared" si="17"/>
        <v>0</v>
      </c>
      <c r="J57" s="31">
        <f t="shared" si="17"/>
        <v>0</v>
      </c>
      <c r="K57" s="31">
        <f t="shared" si="17"/>
        <v>0</v>
      </c>
      <c r="L57" s="31">
        <f t="shared" si="17"/>
        <v>0</v>
      </c>
      <c r="M57" s="76">
        <f t="shared" si="17"/>
        <v>0</v>
      </c>
      <c r="N57" s="31">
        <f t="shared" si="17"/>
        <v>0</v>
      </c>
      <c r="O57" s="31">
        <f t="shared" si="17"/>
        <v>570</v>
      </c>
      <c r="P57" s="31">
        <f t="shared" si="17"/>
        <v>2062746.98</v>
      </c>
      <c r="Q57" s="31">
        <f t="shared" si="17"/>
        <v>0</v>
      </c>
      <c r="R57" s="31">
        <f t="shared" si="17"/>
        <v>0</v>
      </c>
      <c r="S57" s="31">
        <f t="shared" si="17"/>
        <v>0</v>
      </c>
      <c r="T57" s="31">
        <f t="shared" si="17"/>
        <v>0</v>
      </c>
      <c r="U57" s="31">
        <f t="shared" si="17"/>
        <v>0</v>
      </c>
      <c r="V57" s="31">
        <f t="shared" si="17"/>
        <v>0</v>
      </c>
      <c r="W57" s="31">
        <f t="shared" si="17"/>
        <v>0</v>
      </c>
      <c r="X57" s="31">
        <f t="shared" si="17"/>
        <v>0</v>
      </c>
      <c r="Y57" s="31">
        <f t="shared" si="17"/>
        <v>0</v>
      </c>
      <c r="Z57" s="31">
        <f t="shared" si="17"/>
        <v>0</v>
      </c>
      <c r="AA57" s="31">
        <f t="shared" si="17"/>
        <v>0</v>
      </c>
      <c r="AB57" s="31">
        <f t="shared" si="17"/>
        <v>0</v>
      </c>
      <c r="AC57" s="31">
        <f t="shared" si="17"/>
        <v>0</v>
      </c>
      <c r="AD57" s="31">
        <f t="shared" si="17"/>
        <v>0</v>
      </c>
      <c r="AE57" s="67">
        <f t="shared" si="17"/>
        <v>30941.200000000001</v>
      </c>
      <c r="AF57" s="67">
        <f t="shared" si="17"/>
        <v>71109.429999999993</v>
      </c>
      <c r="AG57" s="68">
        <f t="shared" si="17"/>
        <v>0</v>
      </c>
      <c r="AH57" s="35" t="s">
        <v>916</v>
      </c>
      <c r="AI57" s="35" t="s">
        <v>916</v>
      </c>
      <c r="AJ57" s="35" t="s">
        <v>916</v>
      </c>
    </row>
    <row r="58" spans="1:36" s="20" customFormat="1" ht="61.5" x14ac:dyDescent="0.85">
      <c r="A58" s="20">
        <v>1</v>
      </c>
      <c r="B58" s="66">
        <f>SUBTOTAL(103,$A$13:A58)</f>
        <v>31</v>
      </c>
      <c r="C58" s="24" t="s">
        <v>1099</v>
      </c>
      <c r="D58" s="68" t="s">
        <v>1071</v>
      </c>
      <c r="E58" s="69">
        <v>1</v>
      </c>
      <c r="F58" s="31">
        <f t="shared" si="3"/>
        <v>2164797.61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76">
        <v>0</v>
      </c>
      <c r="N58" s="31">
        <v>0</v>
      </c>
      <c r="O58" s="31">
        <v>570</v>
      </c>
      <c r="P58" s="31">
        <v>2062746.98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67">
        <f>ROUND(P58*1.5%,2)</f>
        <v>30941.200000000001</v>
      </c>
      <c r="AF58" s="67">
        <v>71109.429999999993</v>
      </c>
      <c r="AG58" s="67">
        <v>0</v>
      </c>
      <c r="AH58" s="35">
        <v>2020</v>
      </c>
      <c r="AI58" s="35">
        <v>2020</v>
      </c>
      <c r="AJ58" s="35">
        <v>2020</v>
      </c>
    </row>
    <row r="59" spans="1:36" s="20" customFormat="1" ht="61.5" x14ac:dyDescent="0.85">
      <c r="B59" s="70" t="s">
        <v>859</v>
      </c>
      <c r="C59" s="24"/>
      <c r="D59" s="68" t="s">
        <v>916</v>
      </c>
      <c r="E59" s="69">
        <f>E60</f>
        <v>1.009761876417796</v>
      </c>
      <c r="F59" s="31">
        <f>F60</f>
        <v>2144509.73</v>
      </c>
      <c r="G59" s="31">
        <f t="shared" ref="G59:AG59" si="18">G60</f>
        <v>226421.29</v>
      </c>
      <c r="H59" s="31">
        <f t="shared" si="18"/>
        <v>574926.32999999996</v>
      </c>
      <c r="I59" s="31">
        <f t="shared" si="18"/>
        <v>1042147.18</v>
      </c>
      <c r="J59" s="31">
        <f t="shared" si="18"/>
        <v>269322.67</v>
      </c>
      <c r="K59" s="31">
        <f t="shared" si="18"/>
        <v>0</v>
      </c>
      <c r="L59" s="31">
        <f t="shared" si="18"/>
        <v>0</v>
      </c>
      <c r="M59" s="76">
        <f t="shared" si="18"/>
        <v>0</v>
      </c>
      <c r="N59" s="31">
        <f t="shared" si="18"/>
        <v>0</v>
      </c>
      <c r="O59" s="31">
        <f t="shared" si="18"/>
        <v>0</v>
      </c>
      <c r="P59" s="31">
        <f t="shared" si="18"/>
        <v>0</v>
      </c>
      <c r="Q59" s="31">
        <f t="shared" si="18"/>
        <v>0</v>
      </c>
      <c r="R59" s="31">
        <f t="shared" si="18"/>
        <v>0</v>
      </c>
      <c r="S59" s="31">
        <f t="shared" si="18"/>
        <v>0</v>
      </c>
      <c r="T59" s="31">
        <f t="shared" si="18"/>
        <v>0</v>
      </c>
      <c r="U59" s="31">
        <f t="shared" si="18"/>
        <v>0</v>
      </c>
      <c r="V59" s="31">
        <f t="shared" si="18"/>
        <v>0</v>
      </c>
      <c r="W59" s="31">
        <f t="shared" si="18"/>
        <v>0</v>
      </c>
      <c r="X59" s="31">
        <f t="shared" si="18"/>
        <v>0</v>
      </c>
      <c r="Y59" s="31">
        <f t="shared" si="18"/>
        <v>0</v>
      </c>
      <c r="Z59" s="31">
        <f t="shared" si="18"/>
        <v>0</v>
      </c>
      <c r="AA59" s="31">
        <f t="shared" si="18"/>
        <v>0</v>
      </c>
      <c r="AB59" s="31">
        <f t="shared" si="18"/>
        <v>0</v>
      </c>
      <c r="AC59" s="31">
        <f t="shared" si="18"/>
        <v>0</v>
      </c>
      <c r="AD59" s="31">
        <f t="shared" si="18"/>
        <v>0</v>
      </c>
      <c r="AE59" s="31">
        <f t="shared" si="18"/>
        <v>31692.26</v>
      </c>
      <c r="AF59" s="31">
        <f t="shared" si="18"/>
        <v>0</v>
      </c>
      <c r="AG59" s="68">
        <f t="shared" si="18"/>
        <v>0</v>
      </c>
      <c r="AH59" s="35" t="s">
        <v>916</v>
      </c>
      <c r="AI59" s="35" t="s">
        <v>916</v>
      </c>
      <c r="AJ59" s="35" t="s">
        <v>916</v>
      </c>
    </row>
    <row r="60" spans="1:36" s="20" customFormat="1" ht="61.5" x14ac:dyDescent="0.85">
      <c r="A60" s="20">
        <v>1</v>
      </c>
      <c r="B60" s="66">
        <f>SUBTOTAL(103,$A$13:A60)</f>
        <v>32</v>
      </c>
      <c r="C60" s="24" t="s">
        <v>1434</v>
      </c>
      <c r="D60" s="68" t="s">
        <v>1071</v>
      </c>
      <c r="E60" s="69">
        <v>1.009761876417796</v>
      </c>
      <c r="F60" s="31">
        <f t="shared" si="3"/>
        <v>2144509.73</v>
      </c>
      <c r="G60" s="31">
        <v>226421.29</v>
      </c>
      <c r="H60" s="31">
        <v>574926.32999999996</v>
      </c>
      <c r="I60" s="31">
        <v>1042147.18</v>
      </c>
      <c r="J60" s="31">
        <v>269322.67</v>
      </c>
      <c r="K60" s="31">
        <v>0</v>
      </c>
      <c r="L60" s="31">
        <v>0</v>
      </c>
      <c r="M60" s="76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f>ROUND((G60+H60+I60+J60+K60)*1.5%,2)</f>
        <v>31692.26</v>
      </c>
      <c r="AF60" s="67">
        <v>0</v>
      </c>
      <c r="AG60" s="31">
        <v>0</v>
      </c>
      <c r="AH60" s="35" t="s">
        <v>274</v>
      </c>
      <c r="AI60" s="35">
        <v>2020</v>
      </c>
      <c r="AJ60" s="35">
        <v>2020</v>
      </c>
    </row>
    <row r="61" spans="1:36" s="20" customFormat="1" ht="61.5" x14ac:dyDescent="0.85">
      <c r="B61" s="70" t="s">
        <v>895</v>
      </c>
      <c r="C61" s="24"/>
      <c r="D61" s="68" t="s">
        <v>916</v>
      </c>
      <c r="E61" s="69">
        <f>E62</f>
        <v>1.0869557735329547</v>
      </c>
      <c r="F61" s="31">
        <f>F62</f>
        <v>1590688.46</v>
      </c>
      <c r="G61" s="31">
        <f t="shared" ref="G61:AG61" si="19">G62</f>
        <v>301430.32</v>
      </c>
      <c r="H61" s="31">
        <f t="shared" si="19"/>
        <v>0</v>
      </c>
      <c r="I61" s="31">
        <f t="shared" si="19"/>
        <v>0</v>
      </c>
      <c r="J61" s="31">
        <f t="shared" si="19"/>
        <v>440205.38</v>
      </c>
      <c r="K61" s="31">
        <f t="shared" si="19"/>
        <v>825545.05</v>
      </c>
      <c r="L61" s="31">
        <f t="shared" si="19"/>
        <v>0</v>
      </c>
      <c r="M61" s="76">
        <f t="shared" si="19"/>
        <v>0</v>
      </c>
      <c r="N61" s="31">
        <f t="shared" si="19"/>
        <v>0</v>
      </c>
      <c r="O61" s="31">
        <f t="shared" si="19"/>
        <v>0</v>
      </c>
      <c r="P61" s="31">
        <f t="shared" si="19"/>
        <v>0</v>
      </c>
      <c r="Q61" s="31">
        <f t="shared" si="19"/>
        <v>0</v>
      </c>
      <c r="R61" s="31">
        <f t="shared" si="19"/>
        <v>0</v>
      </c>
      <c r="S61" s="31">
        <f t="shared" si="19"/>
        <v>0</v>
      </c>
      <c r="T61" s="31">
        <f t="shared" si="19"/>
        <v>0</v>
      </c>
      <c r="U61" s="31">
        <f t="shared" si="19"/>
        <v>0</v>
      </c>
      <c r="V61" s="31">
        <f t="shared" si="19"/>
        <v>0</v>
      </c>
      <c r="W61" s="31">
        <f t="shared" si="19"/>
        <v>0</v>
      </c>
      <c r="X61" s="31">
        <f t="shared" si="19"/>
        <v>0</v>
      </c>
      <c r="Y61" s="31">
        <f t="shared" si="19"/>
        <v>0</v>
      </c>
      <c r="Z61" s="31">
        <f t="shared" si="19"/>
        <v>0</v>
      </c>
      <c r="AA61" s="31">
        <f t="shared" si="19"/>
        <v>0</v>
      </c>
      <c r="AB61" s="31">
        <f t="shared" si="19"/>
        <v>0</v>
      </c>
      <c r="AC61" s="31">
        <f t="shared" si="19"/>
        <v>0</v>
      </c>
      <c r="AD61" s="31">
        <f t="shared" si="19"/>
        <v>0</v>
      </c>
      <c r="AE61" s="31">
        <f t="shared" si="19"/>
        <v>23507.71</v>
      </c>
      <c r="AF61" s="31">
        <f t="shared" si="19"/>
        <v>0</v>
      </c>
      <c r="AG61" s="68">
        <f t="shared" si="19"/>
        <v>0</v>
      </c>
      <c r="AH61" s="35" t="s">
        <v>916</v>
      </c>
      <c r="AI61" s="35" t="s">
        <v>916</v>
      </c>
      <c r="AJ61" s="35" t="s">
        <v>916</v>
      </c>
    </row>
    <row r="62" spans="1:36" s="20" customFormat="1" ht="61.5" x14ac:dyDescent="0.85">
      <c r="A62" s="20">
        <v>1</v>
      </c>
      <c r="B62" s="66">
        <f>SUBTOTAL(103,$A$13:A62)</f>
        <v>33</v>
      </c>
      <c r="C62" s="24" t="s">
        <v>1435</v>
      </c>
      <c r="D62" s="68" t="s">
        <v>1071</v>
      </c>
      <c r="E62" s="69">
        <v>1.0869557735329547</v>
      </c>
      <c r="F62" s="31">
        <f t="shared" si="3"/>
        <v>1590688.46</v>
      </c>
      <c r="G62" s="31">
        <v>301430.32</v>
      </c>
      <c r="H62" s="31">
        <v>0</v>
      </c>
      <c r="I62" s="31">
        <v>0</v>
      </c>
      <c r="J62" s="31">
        <v>440205.38</v>
      </c>
      <c r="K62" s="31">
        <v>825545.05</v>
      </c>
      <c r="L62" s="31">
        <v>0</v>
      </c>
      <c r="M62" s="76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f>ROUND((G62+H62+I62+J62+K62)*1.5%,2)</f>
        <v>23507.71</v>
      </c>
      <c r="AF62" s="31">
        <v>0</v>
      </c>
      <c r="AG62" s="31">
        <v>0</v>
      </c>
      <c r="AH62" s="35" t="s">
        <v>274</v>
      </c>
      <c r="AI62" s="35">
        <v>2020</v>
      </c>
      <c r="AJ62" s="35">
        <v>2020</v>
      </c>
    </row>
    <row r="63" spans="1:36" ht="61.5" x14ac:dyDescent="0.25">
      <c r="B63" s="229" t="s">
        <v>1436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  <c r="AJ63" s="229"/>
    </row>
    <row r="64" spans="1:36" ht="61.5" x14ac:dyDescent="0.85">
      <c r="B64" s="227" t="s">
        <v>1078</v>
      </c>
      <c r="C64" s="228"/>
      <c r="D64" s="174" t="s">
        <v>916</v>
      </c>
      <c r="E64" s="69">
        <v>0.87170000000000003</v>
      </c>
      <c r="F64" s="31">
        <f>F65+F72+F75+F92+F99+F104+F131+F145+F151+F154+F156+F158+F163+F165+F167+F170+F173+F175+F177+F181+F183+F185+F187+F189+F191+F193+F196</f>
        <v>43381799.889999993</v>
      </c>
      <c r="G64" s="31">
        <f t="shared" ref="G64:AG64" si="20">G65+G72+G75+G92+G99+G104+G131+G145+G151+G154+G156+G158+G163+G165+G167+G170+G173+G175+G177+G181+G183+G185+G187+G189+G191+G193+G196</f>
        <v>7510</v>
      </c>
      <c r="H64" s="31">
        <f t="shared" si="20"/>
        <v>0</v>
      </c>
      <c r="I64" s="31">
        <f t="shared" si="20"/>
        <v>713161.29</v>
      </c>
      <c r="J64" s="31">
        <f t="shared" si="20"/>
        <v>0</v>
      </c>
      <c r="K64" s="31">
        <f t="shared" si="20"/>
        <v>265366.61</v>
      </c>
      <c r="L64" s="31">
        <f t="shared" si="20"/>
        <v>0</v>
      </c>
      <c r="M64" s="33">
        <f t="shared" si="20"/>
        <v>0</v>
      </c>
      <c r="N64" s="31">
        <f t="shared" si="20"/>
        <v>0</v>
      </c>
      <c r="O64" s="31">
        <f t="shared" si="20"/>
        <v>78124.560000000012</v>
      </c>
      <c r="P64" s="31">
        <f t="shared" si="20"/>
        <v>39220160.710000008</v>
      </c>
      <c r="Q64" s="31">
        <f t="shared" si="20"/>
        <v>0</v>
      </c>
      <c r="R64" s="31">
        <f t="shared" si="20"/>
        <v>0</v>
      </c>
      <c r="S64" s="31">
        <f t="shared" si="20"/>
        <v>7004.24</v>
      </c>
      <c r="T64" s="31">
        <f t="shared" si="20"/>
        <v>2038014.8</v>
      </c>
      <c r="U64" s="31">
        <f t="shared" si="20"/>
        <v>143.80000000000001</v>
      </c>
      <c r="V64" s="31">
        <f t="shared" si="20"/>
        <v>128182</v>
      </c>
      <c r="W64" s="31">
        <f t="shared" si="20"/>
        <v>0</v>
      </c>
      <c r="X64" s="31">
        <f t="shared" si="20"/>
        <v>374577.91</v>
      </c>
      <c r="Y64" s="31">
        <f t="shared" si="20"/>
        <v>0</v>
      </c>
      <c r="Z64" s="31">
        <f t="shared" si="20"/>
        <v>0</v>
      </c>
      <c r="AA64" s="31">
        <f t="shared" si="20"/>
        <v>0</v>
      </c>
      <c r="AB64" s="31">
        <f t="shared" si="20"/>
        <v>0</v>
      </c>
      <c r="AC64" s="31">
        <f t="shared" si="20"/>
        <v>0</v>
      </c>
      <c r="AD64" s="31">
        <f t="shared" si="20"/>
        <v>0</v>
      </c>
      <c r="AE64" s="31">
        <f t="shared" si="20"/>
        <v>634826.57000000007</v>
      </c>
      <c r="AF64" s="31">
        <f t="shared" si="20"/>
        <v>0</v>
      </c>
      <c r="AG64" s="31">
        <f t="shared" si="20"/>
        <v>0</v>
      </c>
      <c r="AH64" s="129" t="s">
        <v>916</v>
      </c>
      <c r="AI64" s="129" t="s">
        <v>916</v>
      </c>
      <c r="AJ64" s="129" t="s">
        <v>916</v>
      </c>
    </row>
    <row r="65" spans="1:37" ht="62.25" x14ac:dyDescent="0.9">
      <c r="B65" s="175" t="s">
        <v>840</v>
      </c>
      <c r="C65" s="176"/>
      <c r="D65" s="130" t="s">
        <v>916</v>
      </c>
      <c r="E65" s="69">
        <f>AVERAGE(E66:E71)</f>
        <v>0.82381693240432963</v>
      </c>
      <c r="F65" s="31">
        <f>SUM(F66:F71)</f>
        <v>4055618.86</v>
      </c>
      <c r="G65" s="31">
        <f t="shared" ref="G65:AG65" si="21">SUM(G66:G71)</f>
        <v>0</v>
      </c>
      <c r="H65" s="31">
        <f t="shared" si="21"/>
        <v>0</v>
      </c>
      <c r="I65" s="31">
        <f t="shared" si="21"/>
        <v>0</v>
      </c>
      <c r="J65" s="31">
        <f t="shared" si="21"/>
        <v>0</v>
      </c>
      <c r="K65" s="31">
        <f t="shared" si="21"/>
        <v>0</v>
      </c>
      <c r="L65" s="31">
        <f t="shared" si="21"/>
        <v>0</v>
      </c>
      <c r="M65" s="33">
        <f t="shared" si="21"/>
        <v>0</v>
      </c>
      <c r="N65" s="31">
        <f t="shared" si="21"/>
        <v>0</v>
      </c>
      <c r="O65" s="31">
        <f t="shared" si="21"/>
        <v>4824.3</v>
      </c>
      <c r="P65" s="31">
        <f t="shared" si="21"/>
        <v>3706112.6900000004</v>
      </c>
      <c r="Q65" s="31">
        <f t="shared" si="21"/>
        <v>0</v>
      </c>
      <c r="R65" s="31">
        <f t="shared" si="21"/>
        <v>0</v>
      </c>
      <c r="S65" s="31">
        <f t="shared" si="21"/>
        <v>0</v>
      </c>
      <c r="T65" s="31">
        <f t="shared" si="21"/>
        <v>0</v>
      </c>
      <c r="U65" s="31">
        <f t="shared" si="21"/>
        <v>0</v>
      </c>
      <c r="V65" s="31">
        <f t="shared" si="21"/>
        <v>0</v>
      </c>
      <c r="W65" s="31">
        <f t="shared" si="21"/>
        <v>0</v>
      </c>
      <c r="X65" s="31">
        <f t="shared" si="21"/>
        <v>289570.90999999997</v>
      </c>
      <c r="Y65" s="31">
        <f t="shared" si="21"/>
        <v>0</v>
      </c>
      <c r="Z65" s="31">
        <f t="shared" si="21"/>
        <v>0</v>
      </c>
      <c r="AA65" s="31">
        <f t="shared" si="21"/>
        <v>0</v>
      </c>
      <c r="AB65" s="31">
        <f t="shared" si="21"/>
        <v>0</v>
      </c>
      <c r="AC65" s="31">
        <f t="shared" si="21"/>
        <v>0</v>
      </c>
      <c r="AD65" s="31">
        <f t="shared" si="21"/>
        <v>0</v>
      </c>
      <c r="AE65" s="31">
        <f t="shared" si="21"/>
        <v>59935.259999999995</v>
      </c>
      <c r="AF65" s="31">
        <f t="shared" si="21"/>
        <v>0</v>
      </c>
      <c r="AG65" s="31">
        <f t="shared" si="21"/>
        <v>0</v>
      </c>
      <c r="AH65" s="129" t="s">
        <v>916</v>
      </c>
      <c r="AI65" s="129" t="s">
        <v>916</v>
      </c>
      <c r="AJ65" s="129" t="s">
        <v>916</v>
      </c>
    </row>
    <row r="66" spans="1:37" ht="61.5" x14ac:dyDescent="0.85">
      <c r="A66" s="6">
        <v>1</v>
      </c>
      <c r="B66" s="66">
        <f>SUBTOTAL(103,$A$66:A66)</f>
        <v>1</v>
      </c>
      <c r="C66" s="131" t="s">
        <v>640</v>
      </c>
      <c r="D66" s="72" t="s">
        <v>1068</v>
      </c>
      <c r="E66" s="69">
        <v>0.68103653271030484</v>
      </c>
      <c r="F66" s="31">
        <f t="shared" ref="F66:F152" si="22">G66+H66+I66+J66+K66+L66+N66+P66+R66+T66+V66+W66+X66+Y66+Z66+AA66+AB66+AC66+AD66+AE66+AF66+AG66</f>
        <v>806603.3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3">
        <v>0</v>
      </c>
      <c r="N66" s="31">
        <v>0</v>
      </c>
      <c r="O66" s="31">
        <v>851.8</v>
      </c>
      <c r="P66" s="31">
        <v>794683.05</v>
      </c>
      <c r="Q66" s="31">
        <v>0</v>
      </c>
      <c r="R66" s="31">
        <v>0</v>
      </c>
      <c r="S66" s="31">
        <v>0</v>
      </c>
      <c r="T66" s="132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f>ROUND(P66*1.5%,2)</f>
        <v>11920.25</v>
      </c>
      <c r="AF66" s="31">
        <v>0</v>
      </c>
      <c r="AG66" s="31">
        <v>0</v>
      </c>
      <c r="AH66" s="129" t="s">
        <v>274</v>
      </c>
      <c r="AI66" s="129">
        <v>2020</v>
      </c>
      <c r="AJ66" s="129">
        <v>2020</v>
      </c>
    </row>
    <row r="67" spans="1:37" ht="61.5" x14ac:dyDescent="0.85">
      <c r="A67" s="6">
        <v>1</v>
      </c>
      <c r="B67" s="66">
        <f>SUBTOTAL(103,$A$66:A67)</f>
        <v>2</v>
      </c>
      <c r="C67" s="131" t="s">
        <v>1452</v>
      </c>
      <c r="D67" s="89" t="s">
        <v>1437</v>
      </c>
      <c r="E67" s="69">
        <v>0.76770000000000005</v>
      </c>
      <c r="F67" s="31">
        <f t="shared" si="22"/>
        <v>746025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3">
        <v>0</v>
      </c>
      <c r="N67" s="31">
        <v>0</v>
      </c>
      <c r="O67" s="31">
        <v>901.5</v>
      </c>
      <c r="P67" s="31">
        <v>735000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f>ROUND(P67*1.5%,2)</f>
        <v>11025</v>
      </c>
      <c r="AF67" s="31">
        <v>0</v>
      </c>
      <c r="AG67" s="31">
        <v>0</v>
      </c>
      <c r="AH67" s="129" t="s">
        <v>274</v>
      </c>
      <c r="AI67" s="129">
        <v>2020</v>
      </c>
      <c r="AJ67" s="129">
        <v>2020</v>
      </c>
      <c r="AK67" s="133"/>
    </row>
    <row r="68" spans="1:37" ht="61.5" x14ac:dyDescent="0.85">
      <c r="A68" s="6">
        <v>1</v>
      </c>
      <c r="B68" s="66">
        <f>SUBTOTAL(103,$A$66:A68)</f>
        <v>3</v>
      </c>
      <c r="C68" s="131" t="s">
        <v>1453</v>
      </c>
      <c r="D68" s="89" t="s">
        <v>1066</v>
      </c>
      <c r="E68" s="69">
        <v>0.87790000000000001</v>
      </c>
      <c r="F68" s="31">
        <f t="shared" si="22"/>
        <v>1849341.27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3">
        <v>0</v>
      </c>
      <c r="N68" s="31">
        <v>0</v>
      </c>
      <c r="O68" s="31">
        <v>811</v>
      </c>
      <c r="P68" s="31">
        <v>1822011.1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f>ROUND(P68*1.5%,2)</f>
        <v>27330.17</v>
      </c>
      <c r="AF68" s="31">
        <v>0</v>
      </c>
      <c r="AG68" s="31">
        <v>0</v>
      </c>
      <c r="AH68" s="129" t="s">
        <v>274</v>
      </c>
      <c r="AI68" s="129">
        <v>2020</v>
      </c>
      <c r="AJ68" s="129">
        <v>2020</v>
      </c>
      <c r="AK68" s="133"/>
    </row>
    <row r="69" spans="1:37" ht="61.5" x14ac:dyDescent="0.85">
      <c r="A69" s="6">
        <v>1</v>
      </c>
      <c r="B69" s="66">
        <f>SUBTOTAL(103,$A$66:A69)</f>
        <v>4</v>
      </c>
      <c r="C69" s="131" t="s">
        <v>1454</v>
      </c>
      <c r="D69" s="89" t="s">
        <v>1067</v>
      </c>
      <c r="E69" s="69">
        <v>0.74686506171567224</v>
      </c>
      <c r="F69" s="31">
        <f t="shared" si="22"/>
        <v>293914.46999999997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3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132">
        <v>0</v>
      </c>
      <c r="U69" s="31">
        <v>0</v>
      </c>
      <c r="V69" s="31">
        <v>0</v>
      </c>
      <c r="W69" s="31">
        <v>0</v>
      </c>
      <c r="X69" s="31">
        <v>289570.90999999997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f>ROUND(X69*1.5%,2)</f>
        <v>4343.5600000000004</v>
      </c>
      <c r="AF69" s="31">
        <v>0</v>
      </c>
      <c r="AG69" s="31">
        <v>0</v>
      </c>
      <c r="AH69" s="129" t="s">
        <v>274</v>
      </c>
      <c r="AI69" s="129">
        <v>2020</v>
      </c>
      <c r="AJ69" s="129">
        <v>2020</v>
      </c>
      <c r="AK69" s="133"/>
    </row>
    <row r="70" spans="1:37" ht="61.5" x14ac:dyDescent="0.85">
      <c r="A70" s="6">
        <v>1</v>
      </c>
      <c r="B70" s="66">
        <f>SUBTOTAL(103,$A$66:A70)</f>
        <v>5</v>
      </c>
      <c r="C70" s="131" t="s">
        <v>1455</v>
      </c>
      <c r="D70" s="89" t="s">
        <v>1438</v>
      </c>
      <c r="E70" s="69">
        <v>0.94499999999999995</v>
      </c>
      <c r="F70" s="31">
        <f t="shared" si="22"/>
        <v>247660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3">
        <v>0</v>
      </c>
      <c r="N70" s="31">
        <v>0</v>
      </c>
      <c r="O70" s="31">
        <v>1160</v>
      </c>
      <c r="P70" s="31">
        <v>244000</v>
      </c>
      <c r="Q70" s="31">
        <v>0</v>
      </c>
      <c r="R70" s="31">
        <v>0</v>
      </c>
      <c r="S70" s="31">
        <v>0</v>
      </c>
      <c r="T70" s="132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f>ROUND(P70*1.5%,2)</f>
        <v>3660</v>
      </c>
      <c r="AF70" s="31">
        <v>0</v>
      </c>
      <c r="AG70" s="31">
        <v>0</v>
      </c>
      <c r="AH70" s="129" t="s">
        <v>274</v>
      </c>
      <c r="AI70" s="129">
        <v>2020</v>
      </c>
      <c r="AJ70" s="129">
        <v>2020</v>
      </c>
    </row>
    <row r="71" spans="1:37" ht="61.5" x14ac:dyDescent="0.85">
      <c r="A71" s="6">
        <v>1</v>
      </c>
      <c r="B71" s="66">
        <f>SUBTOTAL(103,$A$66:A71)</f>
        <v>6</v>
      </c>
      <c r="C71" s="131" t="s">
        <v>1456</v>
      </c>
      <c r="D71" s="89" t="s">
        <v>1067</v>
      </c>
      <c r="E71" s="69">
        <v>0.9244</v>
      </c>
      <c r="F71" s="31">
        <f t="shared" si="22"/>
        <v>112074.81999999999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3">
        <v>0</v>
      </c>
      <c r="N71" s="31">
        <v>0</v>
      </c>
      <c r="O71" s="31">
        <v>1100</v>
      </c>
      <c r="P71" s="31">
        <v>110418.54</v>
      </c>
      <c r="Q71" s="31">
        <v>0</v>
      </c>
      <c r="R71" s="31">
        <v>0</v>
      </c>
      <c r="S71" s="31">
        <v>0</v>
      </c>
      <c r="T71" s="132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f>ROUND(P71*1.5%,2)</f>
        <v>1656.28</v>
      </c>
      <c r="AF71" s="31">
        <v>0</v>
      </c>
      <c r="AG71" s="31">
        <v>0</v>
      </c>
      <c r="AH71" s="129" t="s">
        <v>274</v>
      </c>
      <c r="AI71" s="129">
        <v>2020</v>
      </c>
      <c r="AJ71" s="129">
        <v>2020</v>
      </c>
    </row>
    <row r="72" spans="1:37" ht="62.25" x14ac:dyDescent="0.9">
      <c r="B72" s="175" t="s">
        <v>844</v>
      </c>
      <c r="C72" s="176"/>
      <c r="D72" s="130" t="s">
        <v>916</v>
      </c>
      <c r="E72" s="69">
        <f>AVERAGE(E73:E74)</f>
        <v>0.9247850694999683</v>
      </c>
      <c r="F72" s="31">
        <f>F73+F74</f>
        <v>36746.29</v>
      </c>
      <c r="G72" s="31">
        <f t="shared" ref="G72:AG72" si="23">G73+G74</f>
        <v>0</v>
      </c>
      <c r="H72" s="31">
        <f t="shared" si="23"/>
        <v>0</v>
      </c>
      <c r="I72" s="31">
        <f t="shared" si="23"/>
        <v>0</v>
      </c>
      <c r="J72" s="31">
        <f t="shared" si="23"/>
        <v>0</v>
      </c>
      <c r="K72" s="31">
        <f t="shared" si="23"/>
        <v>0</v>
      </c>
      <c r="L72" s="31">
        <f t="shared" si="23"/>
        <v>0</v>
      </c>
      <c r="M72" s="33">
        <f t="shared" si="23"/>
        <v>0</v>
      </c>
      <c r="N72" s="31">
        <f t="shared" si="23"/>
        <v>0</v>
      </c>
      <c r="O72" s="31">
        <f t="shared" si="23"/>
        <v>1670</v>
      </c>
      <c r="P72" s="31">
        <f t="shared" si="23"/>
        <v>36203.24</v>
      </c>
      <c r="Q72" s="31">
        <f t="shared" si="23"/>
        <v>0</v>
      </c>
      <c r="R72" s="31">
        <f t="shared" si="23"/>
        <v>0</v>
      </c>
      <c r="S72" s="31">
        <f t="shared" si="23"/>
        <v>0</v>
      </c>
      <c r="T72" s="31">
        <f t="shared" si="23"/>
        <v>0</v>
      </c>
      <c r="U72" s="31">
        <f t="shared" si="23"/>
        <v>0</v>
      </c>
      <c r="V72" s="31">
        <f t="shared" si="23"/>
        <v>0</v>
      </c>
      <c r="W72" s="31">
        <f t="shared" si="23"/>
        <v>0</v>
      </c>
      <c r="X72" s="31">
        <f t="shared" si="23"/>
        <v>0</v>
      </c>
      <c r="Y72" s="31">
        <f t="shared" si="23"/>
        <v>0</v>
      </c>
      <c r="Z72" s="31">
        <f t="shared" si="23"/>
        <v>0</v>
      </c>
      <c r="AA72" s="31">
        <f t="shared" si="23"/>
        <v>0</v>
      </c>
      <c r="AB72" s="31">
        <f t="shared" si="23"/>
        <v>0</v>
      </c>
      <c r="AC72" s="31">
        <f t="shared" si="23"/>
        <v>0</v>
      </c>
      <c r="AD72" s="31">
        <f t="shared" si="23"/>
        <v>0</v>
      </c>
      <c r="AE72" s="31">
        <f t="shared" si="23"/>
        <v>543.04999999999995</v>
      </c>
      <c r="AF72" s="31">
        <f t="shared" si="23"/>
        <v>0</v>
      </c>
      <c r="AG72" s="31">
        <f t="shared" si="23"/>
        <v>0</v>
      </c>
      <c r="AH72" s="129" t="s">
        <v>916</v>
      </c>
      <c r="AI72" s="129" t="s">
        <v>916</v>
      </c>
      <c r="AJ72" s="129" t="s">
        <v>916</v>
      </c>
    </row>
    <row r="73" spans="1:37" ht="61.5" x14ac:dyDescent="0.85">
      <c r="A73" s="6">
        <v>1</v>
      </c>
      <c r="B73" s="66">
        <f>SUBTOTAL(103,$A$66:A73)</f>
        <v>7</v>
      </c>
      <c r="C73" s="131" t="s">
        <v>1457</v>
      </c>
      <c r="D73" s="72" t="s">
        <v>1439</v>
      </c>
      <c r="E73" s="69">
        <v>0.95197013899993665</v>
      </c>
      <c r="F73" s="31">
        <f t="shared" si="22"/>
        <v>11476.890000000001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3">
        <v>0</v>
      </c>
      <c r="N73" s="31">
        <v>0</v>
      </c>
      <c r="O73" s="31">
        <v>924</v>
      </c>
      <c r="P73" s="31">
        <v>11307.28</v>
      </c>
      <c r="Q73" s="31">
        <v>0</v>
      </c>
      <c r="R73" s="31">
        <v>0</v>
      </c>
      <c r="S73" s="31">
        <v>0</v>
      </c>
      <c r="T73" s="132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f>ROUND(P73*1.5%,2)</f>
        <v>169.61</v>
      </c>
      <c r="AF73" s="31">
        <v>0</v>
      </c>
      <c r="AG73" s="31">
        <v>0</v>
      </c>
      <c r="AH73" s="129" t="s">
        <v>274</v>
      </c>
      <c r="AI73" s="129">
        <v>2020</v>
      </c>
      <c r="AJ73" s="129">
        <v>2020</v>
      </c>
    </row>
    <row r="74" spans="1:37" ht="61.5" x14ac:dyDescent="0.85">
      <c r="A74" s="6">
        <v>1</v>
      </c>
      <c r="B74" s="66">
        <f>SUBTOTAL(103,$A$66:A74)</f>
        <v>8</v>
      </c>
      <c r="C74" s="131" t="s">
        <v>1458</v>
      </c>
      <c r="D74" s="89" t="s">
        <v>1069</v>
      </c>
      <c r="E74" s="69">
        <v>0.89759999999999995</v>
      </c>
      <c r="F74" s="31">
        <f t="shared" si="22"/>
        <v>25269.399999999998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3">
        <v>0</v>
      </c>
      <c r="N74" s="31">
        <v>0</v>
      </c>
      <c r="O74" s="31">
        <v>746</v>
      </c>
      <c r="P74" s="31">
        <v>24895.96</v>
      </c>
      <c r="Q74" s="31">
        <v>0</v>
      </c>
      <c r="R74" s="31">
        <v>0</v>
      </c>
      <c r="S74" s="31">
        <v>0</v>
      </c>
      <c r="T74" s="132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f>ROUND(P74*1.5%,2)</f>
        <v>373.44</v>
      </c>
      <c r="AF74" s="31">
        <v>0</v>
      </c>
      <c r="AG74" s="31">
        <v>0</v>
      </c>
      <c r="AH74" s="129" t="s">
        <v>274</v>
      </c>
      <c r="AI74" s="129">
        <v>2020</v>
      </c>
      <c r="AJ74" s="129">
        <v>2020</v>
      </c>
    </row>
    <row r="75" spans="1:37" ht="62.25" x14ac:dyDescent="0.9">
      <c r="B75" s="175" t="s">
        <v>1074</v>
      </c>
      <c r="C75" s="176"/>
      <c r="D75" s="130" t="s">
        <v>916</v>
      </c>
      <c r="E75" s="69">
        <f>AVERAGE(E76:E90)</f>
        <v>0.95437333333333341</v>
      </c>
      <c r="F75" s="31">
        <f>SUM(F76:F91)</f>
        <v>1862310.1700000002</v>
      </c>
      <c r="G75" s="31">
        <f t="shared" ref="G75:AG75" si="24">SUM(G76:G91)</f>
        <v>0</v>
      </c>
      <c r="H75" s="31">
        <f t="shared" si="24"/>
        <v>0</v>
      </c>
      <c r="I75" s="31">
        <f t="shared" si="24"/>
        <v>0</v>
      </c>
      <c r="J75" s="31">
        <f t="shared" si="24"/>
        <v>0</v>
      </c>
      <c r="K75" s="31">
        <f t="shared" si="24"/>
        <v>0</v>
      </c>
      <c r="L75" s="31">
        <f t="shared" si="24"/>
        <v>0</v>
      </c>
      <c r="M75" s="31">
        <f t="shared" si="24"/>
        <v>0</v>
      </c>
      <c r="N75" s="31">
        <f t="shared" si="24"/>
        <v>0</v>
      </c>
      <c r="O75" s="31">
        <f t="shared" si="24"/>
        <v>10253.560000000001</v>
      </c>
      <c r="P75" s="31">
        <f t="shared" si="24"/>
        <v>1196606.33</v>
      </c>
      <c r="Q75" s="31">
        <f t="shared" si="24"/>
        <v>0</v>
      </c>
      <c r="R75" s="31">
        <f t="shared" si="24"/>
        <v>0</v>
      </c>
      <c r="S75" s="31">
        <f t="shared" si="24"/>
        <v>853.2</v>
      </c>
      <c r="T75" s="31">
        <f t="shared" si="24"/>
        <v>510000</v>
      </c>
      <c r="U75" s="31">
        <f t="shared" si="24"/>
        <v>143.80000000000001</v>
      </c>
      <c r="V75" s="31">
        <f t="shared" si="24"/>
        <v>128182</v>
      </c>
      <c r="W75" s="31">
        <f t="shared" si="24"/>
        <v>0</v>
      </c>
      <c r="X75" s="31">
        <f t="shared" si="24"/>
        <v>0</v>
      </c>
      <c r="Y75" s="31">
        <f t="shared" si="24"/>
        <v>0</v>
      </c>
      <c r="Z75" s="31">
        <f t="shared" si="24"/>
        <v>0</v>
      </c>
      <c r="AA75" s="31">
        <f t="shared" si="24"/>
        <v>0</v>
      </c>
      <c r="AB75" s="31">
        <f t="shared" si="24"/>
        <v>0</v>
      </c>
      <c r="AC75" s="31">
        <f t="shared" si="24"/>
        <v>0</v>
      </c>
      <c r="AD75" s="31">
        <f t="shared" si="24"/>
        <v>0</v>
      </c>
      <c r="AE75" s="31">
        <f t="shared" si="24"/>
        <v>27521.840000000004</v>
      </c>
      <c r="AF75" s="31">
        <f t="shared" si="24"/>
        <v>0</v>
      </c>
      <c r="AG75" s="31">
        <f t="shared" si="24"/>
        <v>0</v>
      </c>
      <c r="AH75" s="129" t="s">
        <v>916</v>
      </c>
      <c r="AI75" s="129" t="s">
        <v>916</v>
      </c>
      <c r="AJ75" s="129" t="s">
        <v>916</v>
      </c>
    </row>
    <row r="76" spans="1:37" ht="61.5" x14ac:dyDescent="0.85">
      <c r="A76" s="6">
        <v>1</v>
      </c>
      <c r="B76" s="66">
        <f>SUBTOTAL(103,$A$66:A76)</f>
        <v>9</v>
      </c>
      <c r="C76" s="131" t="s">
        <v>1459</v>
      </c>
      <c r="D76" s="89" t="s">
        <v>1068</v>
      </c>
      <c r="E76" s="69">
        <v>0.97330000000000005</v>
      </c>
      <c r="F76" s="31">
        <f t="shared" si="22"/>
        <v>13062.04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3">
        <v>0</v>
      </c>
      <c r="N76" s="31">
        <v>0</v>
      </c>
      <c r="O76" s="31">
        <v>1120</v>
      </c>
      <c r="P76" s="31">
        <v>12869</v>
      </c>
      <c r="Q76" s="31">
        <v>0</v>
      </c>
      <c r="R76" s="31">
        <v>0</v>
      </c>
      <c r="S76" s="31">
        <v>0</v>
      </c>
      <c r="T76" s="132">
        <v>0</v>
      </c>
      <c r="U76" s="31">
        <v>0</v>
      </c>
      <c r="V76" s="31">
        <v>0</v>
      </c>
      <c r="W76" s="31">
        <v>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f>ROUND(P76*1.5%,2)</f>
        <v>193.04</v>
      </c>
      <c r="AF76" s="31">
        <v>0</v>
      </c>
      <c r="AG76" s="31">
        <v>0</v>
      </c>
      <c r="AH76" s="129" t="s">
        <v>274</v>
      </c>
      <c r="AI76" s="129">
        <v>2020</v>
      </c>
      <c r="AJ76" s="129">
        <v>2020</v>
      </c>
    </row>
    <row r="77" spans="1:37" ht="61.5" x14ac:dyDescent="0.85">
      <c r="A77" s="6">
        <v>1</v>
      </c>
      <c r="B77" s="66">
        <f>SUBTOTAL(103,$A$66:A77)</f>
        <v>10</v>
      </c>
      <c r="C77" s="131" t="s">
        <v>1460</v>
      </c>
      <c r="D77" s="89" t="s">
        <v>1069</v>
      </c>
      <c r="E77" s="69">
        <v>0.86990000000000001</v>
      </c>
      <c r="F77" s="31">
        <f t="shared" si="22"/>
        <v>173871.57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3">
        <v>0</v>
      </c>
      <c r="N77" s="31">
        <v>0</v>
      </c>
      <c r="O77" s="31">
        <v>728.12</v>
      </c>
      <c r="P77" s="31">
        <v>171302.04</v>
      </c>
      <c r="Q77" s="31">
        <v>0</v>
      </c>
      <c r="R77" s="31">
        <v>0</v>
      </c>
      <c r="S77" s="31">
        <v>0</v>
      </c>
      <c r="T77" s="31">
        <v>0</v>
      </c>
      <c r="U77" s="31">
        <v>0</v>
      </c>
      <c r="V77" s="31">
        <v>0</v>
      </c>
      <c r="W77" s="31">
        <v>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f t="shared" ref="AE77:AE82" si="25">ROUND(P77*1.5%,2)</f>
        <v>2569.5300000000002</v>
      </c>
      <c r="AF77" s="31">
        <v>0</v>
      </c>
      <c r="AG77" s="31">
        <v>0</v>
      </c>
      <c r="AH77" s="129" t="s">
        <v>274</v>
      </c>
      <c r="AI77" s="129">
        <v>2020</v>
      </c>
      <c r="AJ77" s="129">
        <v>2020</v>
      </c>
    </row>
    <row r="78" spans="1:37" ht="61.5" x14ac:dyDescent="0.85">
      <c r="A78" s="6">
        <v>1</v>
      </c>
      <c r="B78" s="66">
        <f>SUBTOTAL(103,$A$66:A78)</f>
        <v>11</v>
      </c>
      <c r="C78" s="131" t="s">
        <v>1461</v>
      </c>
      <c r="D78" s="89" t="s">
        <v>1067</v>
      </c>
      <c r="E78" s="69">
        <v>0.95440000000000003</v>
      </c>
      <c r="F78" s="31">
        <f t="shared" si="22"/>
        <v>82406.94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3">
        <v>0</v>
      </c>
      <c r="N78" s="31">
        <v>0</v>
      </c>
      <c r="O78" s="31">
        <v>755</v>
      </c>
      <c r="P78" s="31">
        <v>81189.100000000006</v>
      </c>
      <c r="Q78" s="31">
        <v>0</v>
      </c>
      <c r="R78" s="31">
        <v>0</v>
      </c>
      <c r="S78" s="31">
        <v>0</v>
      </c>
      <c r="T78" s="132">
        <v>0</v>
      </c>
      <c r="U78" s="31">
        <v>0</v>
      </c>
      <c r="V78" s="31">
        <v>0</v>
      </c>
      <c r="W78" s="31">
        <v>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f t="shared" si="25"/>
        <v>1217.8399999999999</v>
      </c>
      <c r="AF78" s="31">
        <v>0</v>
      </c>
      <c r="AG78" s="31">
        <v>0</v>
      </c>
      <c r="AH78" s="129" t="s">
        <v>274</v>
      </c>
      <c r="AI78" s="129">
        <v>2020</v>
      </c>
      <c r="AJ78" s="129">
        <v>2020</v>
      </c>
    </row>
    <row r="79" spans="1:37" ht="61.5" x14ac:dyDescent="0.85">
      <c r="A79" s="6">
        <v>1</v>
      </c>
      <c r="B79" s="66">
        <f>SUBTOTAL(103,$A$66:A79)</f>
        <v>12</v>
      </c>
      <c r="C79" s="131" t="s">
        <v>1462</v>
      </c>
      <c r="D79" s="89" t="s">
        <v>1441</v>
      </c>
      <c r="E79" s="69">
        <v>1.0023</v>
      </c>
      <c r="F79" s="31">
        <f t="shared" si="22"/>
        <v>48720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3">
        <v>0</v>
      </c>
      <c r="N79" s="31">
        <v>0</v>
      </c>
      <c r="O79" s="31">
        <v>497</v>
      </c>
      <c r="P79" s="31">
        <v>48000</v>
      </c>
      <c r="Q79" s="31">
        <v>0</v>
      </c>
      <c r="R79" s="31">
        <v>0</v>
      </c>
      <c r="S79" s="31">
        <v>0</v>
      </c>
      <c r="T79" s="31">
        <v>0</v>
      </c>
      <c r="U79" s="31">
        <v>0</v>
      </c>
      <c r="V79" s="31">
        <v>0</v>
      </c>
      <c r="W79" s="31">
        <v>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f t="shared" si="25"/>
        <v>720</v>
      </c>
      <c r="AF79" s="31">
        <v>0</v>
      </c>
      <c r="AG79" s="31">
        <v>0</v>
      </c>
      <c r="AH79" s="129" t="s">
        <v>274</v>
      </c>
      <c r="AI79" s="129">
        <v>2020</v>
      </c>
      <c r="AJ79" s="129">
        <v>2020</v>
      </c>
    </row>
    <row r="80" spans="1:37" ht="61.5" x14ac:dyDescent="0.85">
      <c r="A80" s="6">
        <v>1</v>
      </c>
      <c r="B80" s="66">
        <f>SUBTOTAL(103,$A$66:A80)</f>
        <v>13</v>
      </c>
      <c r="C80" s="131" t="s">
        <v>1463</v>
      </c>
      <c r="D80" s="89" t="s">
        <v>1069</v>
      </c>
      <c r="E80" s="69">
        <v>0.96599999999999997</v>
      </c>
      <c r="F80" s="31">
        <f t="shared" si="22"/>
        <v>27496.35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3">
        <v>0</v>
      </c>
      <c r="N80" s="31">
        <v>0</v>
      </c>
      <c r="O80" s="31">
        <v>636</v>
      </c>
      <c r="P80" s="31">
        <v>27090</v>
      </c>
      <c r="Q80" s="31">
        <v>0</v>
      </c>
      <c r="R80" s="31">
        <v>0</v>
      </c>
      <c r="S80" s="31">
        <v>0</v>
      </c>
      <c r="T80" s="31">
        <v>0</v>
      </c>
      <c r="U80" s="31">
        <v>0</v>
      </c>
      <c r="V80" s="31">
        <v>0</v>
      </c>
      <c r="W80" s="31">
        <v>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f t="shared" si="25"/>
        <v>406.35</v>
      </c>
      <c r="AF80" s="31">
        <v>0</v>
      </c>
      <c r="AG80" s="31">
        <v>0</v>
      </c>
      <c r="AH80" s="129" t="s">
        <v>274</v>
      </c>
      <c r="AI80" s="129">
        <v>2020</v>
      </c>
      <c r="AJ80" s="129">
        <v>2020</v>
      </c>
    </row>
    <row r="81" spans="1:36" ht="61.5" x14ac:dyDescent="0.85">
      <c r="A81" s="6">
        <v>1</v>
      </c>
      <c r="B81" s="66">
        <f>SUBTOTAL(103,$A$66:A81)</f>
        <v>14</v>
      </c>
      <c r="C81" s="131" t="s">
        <v>1464</v>
      </c>
      <c r="D81" s="89" t="s">
        <v>1067</v>
      </c>
      <c r="E81" s="69">
        <v>0.90890000000000004</v>
      </c>
      <c r="F81" s="31">
        <f t="shared" si="22"/>
        <v>381944.5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3">
        <v>0</v>
      </c>
      <c r="N81" s="31">
        <v>0</v>
      </c>
      <c r="O81" s="31">
        <v>645</v>
      </c>
      <c r="P81" s="31">
        <v>376300</v>
      </c>
      <c r="Q81" s="31">
        <v>0</v>
      </c>
      <c r="R81" s="31">
        <v>0</v>
      </c>
      <c r="S81" s="31">
        <v>0</v>
      </c>
      <c r="T81" s="31">
        <v>0</v>
      </c>
      <c r="U81" s="31">
        <v>0</v>
      </c>
      <c r="V81" s="31">
        <v>0</v>
      </c>
      <c r="W81" s="31">
        <v>0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f t="shared" si="25"/>
        <v>5644.5</v>
      </c>
      <c r="AF81" s="31">
        <v>0</v>
      </c>
      <c r="AG81" s="31">
        <v>0</v>
      </c>
      <c r="AH81" s="129" t="s">
        <v>274</v>
      </c>
      <c r="AI81" s="129">
        <v>2020</v>
      </c>
      <c r="AJ81" s="129">
        <v>2020</v>
      </c>
    </row>
    <row r="82" spans="1:36" ht="61.5" x14ac:dyDescent="0.85">
      <c r="A82" s="6">
        <v>1</v>
      </c>
      <c r="B82" s="66">
        <f>SUBTOTAL(103,$A$66:A82)</f>
        <v>15</v>
      </c>
      <c r="C82" s="131" t="s">
        <v>1465</v>
      </c>
      <c r="D82" s="89" t="s">
        <v>1069</v>
      </c>
      <c r="E82" s="69">
        <v>0.97260000000000002</v>
      </c>
      <c r="F82" s="31">
        <f t="shared" si="22"/>
        <v>16240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3">
        <v>0</v>
      </c>
      <c r="N82" s="31">
        <v>0</v>
      </c>
      <c r="O82" s="31">
        <v>691.81</v>
      </c>
      <c r="P82" s="31">
        <v>16000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f t="shared" si="25"/>
        <v>240</v>
      </c>
      <c r="AF82" s="31">
        <v>0</v>
      </c>
      <c r="AG82" s="31">
        <v>0</v>
      </c>
      <c r="AH82" s="129" t="s">
        <v>274</v>
      </c>
      <c r="AI82" s="129">
        <v>2020</v>
      </c>
      <c r="AJ82" s="129">
        <v>2020</v>
      </c>
    </row>
    <row r="83" spans="1:36" ht="61.5" x14ac:dyDescent="0.85">
      <c r="A83" s="6">
        <v>1</v>
      </c>
      <c r="B83" s="66">
        <f>SUBTOTAL(103,$A$66:A83)</f>
        <v>16</v>
      </c>
      <c r="C83" s="131" t="s">
        <v>1467</v>
      </c>
      <c r="D83" s="89" t="s">
        <v>1067</v>
      </c>
      <c r="E83" s="69">
        <v>0.9919</v>
      </c>
      <c r="F83" s="31">
        <f t="shared" si="22"/>
        <v>517650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3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31">
        <v>853.2</v>
      </c>
      <c r="T83" s="132">
        <v>510000</v>
      </c>
      <c r="U83" s="31">
        <v>0</v>
      </c>
      <c r="V83" s="31">
        <v>0</v>
      </c>
      <c r="W83" s="31">
        <v>0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f>ROUND(T83*1.5%,2)</f>
        <v>7650</v>
      </c>
      <c r="AF83" s="31">
        <v>0</v>
      </c>
      <c r="AG83" s="31">
        <v>0</v>
      </c>
      <c r="AH83" s="129" t="s">
        <v>274</v>
      </c>
      <c r="AI83" s="129">
        <v>2020</v>
      </c>
      <c r="AJ83" s="129">
        <v>2020</v>
      </c>
    </row>
    <row r="84" spans="1:36" ht="61.5" x14ac:dyDescent="0.85">
      <c r="A84" s="6">
        <v>1</v>
      </c>
      <c r="B84" s="66">
        <f>SUBTOTAL(103,$A$66:A84)</f>
        <v>17</v>
      </c>
      <c r="C84" s="131" t="s">
        <v>1149</v>
      </c>
      <c r="D84" s="89" t="s">
        <v>1442</v>
      </c>
      <c r="E84" s="69">
        <v>0.96870000000000001</v>
      </c>
      <c r="F84" s="31">
        <f t="shared" si="22"/>
        <v>148190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3">
        <v>0</v>
      </c>
      <c r="N84" s="31">
        <v>0</v>
      </c>
      <c r="O84" s="31">
        <v>404</v>
      </c>
      <c r="P84" s="31">
        <v>146000</v>
      </c>
      <c r="Q84" s="31">
        <v>0</v>
      </c>
      <c r="R84" s="31">
        <v>0</v>
      </c>
      <c r="S84" s="31">
        <v>0</v>
      </c>
      <c r="T84" s="132">
        <v>0</v>
      </c>
      <c r="U84" s="31">
        <v>0</v>
      </c>
      <c r="V84" s="31">
        <v>0</v>
      </c>
      <c r="W84" s="31">
        <v>0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f>ROUND(P84*1.5%,2)</f>
        <v>2190</v>
      </c>
      <c r="AF84" s="31">
        <v>0</v>
      </c>
      <c r="AG84" s="31">
        <v>0</v>
      </c>
      <c r="AH84" s="129" t="s">
        <v>274</v>
      </c>
      <c r="AI84" s="129">
        <v>2020</v>
      </c>
      <c r="AJ84" s="129">
        <v>2020</v>
      </c>
    </row>
    <row r="85" spans="1:36" ht="61.5" x14ac:dyDescent="0.85">
      <c r="A85" s="6">
        <v>1</v>
      </c>
      <c r="B85" s="66">
        <f>SUBTOTAL(103,$A$66:A85)</f>
        <v>18</v>
      </c>
      <c r="C85" s="131" t="s">
        <v>1466</v>
      </c>
      <c r="D85" s="89" t="s">
        <v>1067</v>
      </c>
      <c r="E85" s="69">
        <v>0.78869999999999996</v>
      </c>
      <c r="F85" s="31">
        <f t="shared" si="22"/>
        <v>10902.52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3">
        <v>0</v>
      </c>
      <c r="N85" s="31">
        <v>0</v>
      </c>
      <c r="O85" s="31">
        <v>582</v>
      </c>
      <c r="P85" s="31">
        <v>10741.4</v>
      </c>
      <c r="Q85" s="31">
        <v>0</v>
      </c>
      <c r="R85" s="31">
        <v>0</v>
      </c>
      <c r="S85" s="31">
        <v>0</v>
      </c>
      <c r="T85" s="132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f>ROUND(P85*1.5%,2)</f>
        <v>161.12</v>
      </c>
      <c r="AF85" s="31">
        <v>0</v>
      </c>
      <c r="AG85" s="31">
        <v>0</v>
      </c>
      <c r="AH85" s="129" t="s">
        <v>274</v>
      </c>
      <c r="AI85" s="129">
        <v>2020</v>
      </c>
      <c r="AJ85" s="129">
        <v>2020</v>
      </c>
    </row>
    <row r="86" spans="1:36" ht="61.5" x14ac:dyDescent="0.85">
      <c r="A86" s="6">
        <v>1</v>
      </c>
      <c r="B86" s="66">
        <f>SUBTOTAL(103,$A$66:A86)</f>
        <v>19</v>
      </c>
      <c r="C86" s="131" t="s">
        <v>1468</v>
      </c>
      <c r="D86" s="89" t="s">
        <v>1439</v>
      </c>
      <c r="E86" s="69">
        <v>1.0038</v>
      </c>
      <c r="F86" s="31">
        <f t="shared" si="22"/>
        <v>17378.54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3">
        <v>0</v>
      </c>
      <c r="N86" s="31">
        <v>0</v>
      </c>
      <c r="O86" s="31">
        <v>1156</v>
      </c>
      <c r="P86" s="31">
        <v>17121.71</v>
      </c>
      <c r="Q86" s="31">
        <v>0</v>
      </c>
      <c r="R86" s="31">
        <v>0</v>
      </c>
      <c r="S86" s="31">
        <v>0</v>
      </c>
      <c r="T86" s="132">
        <v>0</v>
      </c>
      <c r="U86" s="31">
        <v>0</v>
      </c>
      <c r="V86" s="31">
        <v>0</v>
      </c>
      <c r="W86" s="31">
        <v>0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f>ROUND(P86*1.5%,2)</f>
        <v>256.83</v>
      </c>
      <c r="AF86" s="31">
        <v>0</v>
      </c>
      <c r="AG86" s="31">
        <v>0</v>
      </c>
      <c r="AH86" s="129" t="s">
        <v>274</v>
      </c>
      <c r="AI86" s="129">
        <v>2020</v>
      </c>
      <c r="AJ86" s="129">
        <v>2020</v>
      </c>
    </row>
    <row r="87" spans="1:36" ht="61.5" x14ac:dyDescent="0.85">
      <c r="A87" s="6">
        <v>1</v>
      </c>
      <c r="B87" s="66">
        <f>SUBTOTAL(103,$A$66:A87)</f>
        <v>20</v>
      </c>
      <c r="C87" s="131" t="s">
        <v>1540</v>
      </c>
      <c r="D87" s="89" t="s">
        <v>1067</v>
      </c>
      <c r="E87" s="69">
        <v>0.97260000000000002</v>
      </c>
      <c r="F87" s="31">
        <f t="shared" si="22"/>
        <v>130104.73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3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31">
        <v>0</v>
      </c>
      <c r="T87" s="132">
        <v>0</v>
      </c>
      <c r="U87" s="31">
        <v>143.80000000000001</v>
      </c>
      <c r="V87" s="31">
        <v>128182</v>
      </c>
      <c r="W87" s="31">
        <v>0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f>ROUND(V87*1.5%,2)</f>
        <v>1922.73</v>
      </c>
      <c r="AF87" s="31">
        <v>0</v>
      </c>
      <c r="AG87" s="31">
        <v>0</v>
      </c>
      <c r="AH87" s="129" t="s">
        <v>274</v>
      </c>
      <c r="AI87" s="129">
        <v>2020</v>
      </c>
      <c r="AJ87" s="129">
        <v>2020</v>
      </c>
    </row>
    <row r="88" spans="1:36" ht="61.5" x14ac:dyDescent="0.85">
      <c r="A88" s="6">
        <v>1</v>
      </c>
      <c r="B88" s="66">
        <f>SUBTOTAL(103,$A$66:A88)</f>
        <v>21</v>
      </c>
      <c r="C88" s="131" t="s">
        <v>1541</v>
      </c>
      <c r="D88" s="89" t="s">
        <v>1067</v>
      </c>
      <c r="E88" s="69">
        <v>0.9859</v>
      </c>
      <c r="F88" s="31">
        <f t="shared" si="22"/>
        <v>159880.76999999999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3">
        <v>0</v>
      </c>
      <c r="N88" s="31">
        <v>0</v>
      </c>
      <c r="O88" s="31">
        <v>622.63</v>
      </c>
      <c r="P88" s="31">
        <v>157518</v>
      </c>
      <c r="Q88" s="31">
        <v>0</v>
      </c>
      <c r="R88" s="31">
        <v>0</v>
      </c>
      <c r="S88" s="31">
        <v>0</v>
      </c>
      <c r="T88" s="132">
        <v>0</v>
      </c>
      <c r="U88" s="31">
        <v>0</v>
      </c>
      <c r="V88" s="31">
        <v>0</v>
      </c>
      <c r="W88" s="31">
        <v>0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f>ROUND(P88*1.5%,2)</f>
        <v>2362.77</v>
      </c>
      <c r="AF88" s="31">
        <v>0</v>
      </c>
      <c r="AG88" s="31">
        <v>0</v>
      </c>
      <c r="AH88" s="129" t="s">
        <v>274</v>
      </c>
      <c r="AI88" s="129">
        <v>2020</v>
      </c>
      <c r="AJ88" s="129">
        <v>2020</v>
      </c>
    </row>
    <row r="89" spans="1:36" ht="61.5" x14ac:dyDescent="0.85">
      <c r="A89" s="6">
        <v>1</v>
      </c>
      <c r="B89" s="66">
        <f>SUBTOTAL(103,$A$66:A89)</f>
        <v>22</v>
      </c>
      <c r="C89" s="131" t="s">
        <v>1542</v>
      </c>
      <c r="D89" s="89" t="s">
        <v>1067</v>
      </c>
      <c r="E89" s="69">
        <v>1.0001</v>
      </c>
      <c r="F89" s="31">
        <f t="shared" si="22"/>
        <v>9498.3700000000008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3">
        <v>0</v>
      </c>
      <c r="N89" s="31">
        <v>0</v>
      </c>
      <c r="O89" s="31">
        <v>550</v>
      </c>
      <c r="P89" s="31">
        <v>9358</v>
      </c>
      <c r="Q89" s="31">
        <v>0</v>
      </c>
      <c r="R89" s="31">
        <v>0</v>
      </c>
      <c r="S89" s="31">
        <v>0</v>
      </c>
      <c r="T89" s="132">
        <v>0</v>
      </c>
      <c r="U89" s="31">
        <v>0</v>
      </c>
      <c r="V89" s="31">
        <v>0</v>
      </c>
      <c r="W89" s="31">
        <v>0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f>ROUND(P89*1.5%,2)</f>
        <v>140.37</v>
      </c>
      <c r="AF89" s="31">
        <v>0</v>
      </c>
      <c r="AG89" s="31">
        <v>0</v>
      </c>
      <c r="AH89" s="129" t="s">
        <v>274</v>
      </c>
      <c r="AI89" s="129">
        <v>2020</v>
      </c>
      <c r="AJ89" s="129">
        <v>2020</v>
      </c>
    </row>
    <row r="90" spans="1:36" ht="61.5" x14ac:dyDescent="0.85">
      <c r="A90" s="6">
        <v>1</v>
      </c>
      <c r="B90" s="66">
        <f>SUBTOTAL(103,$A$66:A90)</f>
        <v>23</v>
      </c>
      <c r="C90" s="131" t="s">
        <v>1543</v>
      </c>
      <c r="D90" s="89" t="s">
        <v>1072</v>
      </c>
      <c r="E90" s="69">
        <v>0.95650000000000002</v>
      </c>
      <c r="F90" s="31">
        <f t="shared" si="22"/>
        <v>61000.49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3">
        <v>0</v>
      </c>
      <c r="N90" s="31">
        <v>0</v>
      </c>
      <c r="O90" s="31">
        <v>807</v>
      </c>
      <c r="P90" s="31">
        <v>60099</v>
      </c>
      <c r="Q90" s="31">
        <v>0</v>
      </c>
      <c r="R90" s="31">
        <v>0</v>
      </c>
      <c r="S90" s="31">
        <v>0</v>
      </c>
      <c r="T90" s="132">
        <v>0</v>
      </c>
      <c r="U90" s="31">
        <v>0</v>
      </c>
      <c r="V90" s="31">
        <v>0</v>
      </c>
      <c r="W90" s="31">
        <v>0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f>ROUND(P90*1.5%,2)</f>
        <v>901.49</v>
      </c>
      <c r="AF90" s="31">
        <v>0</v>
      </c>
      <c r="AG90" s="31">
        <v>0</v>
      </c>
      <c r="AH90" s="129" t="s">
        <v>274</v>
      </c>
      <c r="AI90" s="129">
        <v>2020</v>
      </c>
      <c r="AJ90" s="129">
        <v>2020</v>
      </c>
    </row>
    <row r="91" spans="1:36" ht="61.5" x14ac:dyDescent="0.85">
      <c r="A91" s="6">
        <v>1</v>
      </c>
      <c r="B91" s="66">
        <f>SUBTOTAL(103,$A$66:A91)</f>
        <v>24</v>
      </c>
      <c r="C91" s="131" t="s">
        <v>1653</v>
      </c>
      <c r="D91" s="89" t="s">
        <v>1067</v>
      </c>
      <c r="E91" s="69">
        <v>0.76249999999999996</v>
      </c>
      <c r="F91" s="31">
        <f t="shared" si="22"/>
        <v>63963.35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3">
        <v>0</v>
      </c>
      <c r="N91" s="31">
        <v>0</v>
      </c>
      <c r="O91" s="31">
        <v>1059</v>
      </c>
      <c r="P91" s="31">
        <v>63018.080000000002</v>
      </c>
      <c r="Q91" s="31">
        <v>0</v>
      </c>
      <c r="R91" s="31">
        <v>0</v>
      </c>
      <c r="S91" s="31">
        <v>0</v>
      </c>
      <c r="T91" s="132">
        <v>0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f>ROUND(P91*1.5%,2)</f>
        <v>945.27</v>
      </c>
      <c r="AF91" s="31">
        <v>0</v>
      </c>
      <c r="AG91" s="31">
        <v>0</v>
      </c>
      <c r="AH91" s="129" t="s">
        <v>274</v>
      </c>
      <c r="AI91" s="129">
        <v>2020</v>
      </c>
      <c r="AJ91" s="129">
        <v>2020</v>
      </c>
    </row>
    <row r="92" spans="1:36" ht="62.25" x14ac:dyDescent="0.9">
      <c r="B92" s="175" t="s">
        <v>848</v>
      </c>
      <c r="C92" s="176"/>
      <c r="D92" s="130" t="s">
        <v>916</v>
      </c>
      <c r="E92" s="69">
        <f>AVERAGE(E93:E98)</f>
        <v>0.76542144298194448</v>
      </c>
      <c r="F92" s="31">
        <f>SUM(F93:F98)</f>
        <v>7701832.5299999993</v>
      </c>
      <c r="G92" s="31">
        <f t="shared" ref="G92:AG92" si="26">SUM(G93:G98)</f>
        <v>0</v>
      </c>
      <c r="H92" s="31">
        <f t="shared" si="26"/>
        <v>0</v>
      </c>
      <c r="I92" s="31">
        <f t="shared" si="26"/>
        <v>0</v>
      </c>
      <c r="J92" s="31">
        <f t="shared" si="26"/>
        <v>0</v>
      </c>
      <c r="K92" s="31">
        <f t="shared" si="26"/>
        <v>0</v>
      </c>
      <c r="L92" s="31">
        <f t="shared" si="26"/>
        <v>0</v>
      </c>
      <c r="M92" s="33">
        <f t="shared" si="26"/>
        <v>0</v>
      </c>
      <c r="N92" s="31">
        <f t="shared" si="26"/>
        <v>0</v>
      </c>
      <c r="O92" s="31">
        <f t="shared" si="26"/>
        <v>5334.26</v>
      </c>
      <c r="P92" s="31">
        <f t="shared" si="26"/>
        <v>7588012.3399999999</v>
      </c>
      <c r="Q92" s="31">
        <f t="shared" si="26"/>
        <v>0</v>
      </c>
      <c r="R92" s="31">
        <f t="shared" si="26"/>
        <v>0</v>
      </c>
      <c r="S92" s="31">
        <f t="shared" si="26"/>
        <v>0</v>
      </c>
      <c r="T92" s="31">
        <f t="shared" si="26"/>
        <v>0</v>
      </c>
      <c r="U92" s="31">
        <f t="shared" si="26"/>
        <v>0</v>
      </c>
      <c r="V92" s="31">
        <f t="shared" si="26"/>
        <v>0</v>
      </c>
      <c r="W92" s="31">
        <f t="shared" si="26"/>
        <v>0</v>
      </c>
      <c r="X92" s="31">
        <f t="shared" si="26"/>
        <v>0</v>
      </c>
      <c r="Y92" s="31">
        <f t="shared" si="26"/>
        <v>0</v>
      </c>
      <c r="Z92" s="31">
        <f t="shared" si="26"/>
        <v>0</v>
      </c>
      <c r="AA92" s="31">
        <f t="shared" si="26"/>
        <v>0</v>
      </c>
      <c r="AB92" s="31">
        <f t="shared" si="26"/>
        <v>0</v>
      </c>
      <c r="AC92" s="31">
        <f t="shared" si="26"/>
        <v>0</v>
      </c>
      <c r="AD92" s="31">
        <f t="shared" si="26"/>
        <v>0</v>
      </c>
      <c r="AE92" s="31">
        <f t="shared" si="26"/>
        <v>113820.18999999999</v>
      </c>
      <c r="AF92" s="31">
        <f t="shared" si="26"/>
        <v>0</v>
      </c>
      <c r="AG92" s="31">
        <f t="shared" si="26"/>
        <v>0</v>
      </c>
      <c r="AH92" s="129" t="s">
        <v>916</v>
      </c>
      <c r="AI92" s="129" t="s">
        <v>916</v>
      </c>
      <c r="AJ92" s="129" t="s">
        <v>916</v>
      </c>
    </row>
    <row r="93" spans="1:36" ht="61.5" x14ac:dyDescent="0.85">
      <c r="A93" s="6">
        <v>1</v>
      </c>
      <c r="B93" s="66">
        <f>SUBTOTAL(103,$A$66:A93)</f>
        <v>25</v>
      </c>
      <c r="C93" s="131" t="s">
        <v>1469</v>
      </c>
      <c r="D93" s="72" t="s">
        <v>1443</v>
      </c>
      <c r="E93" s="69">
        <v>0.79441212856856191</v>
      </c>
      <c r="F93" s="31">
        <f t="shared" si="22"/>
        <v>5491611.8300000001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3">
        <v>0</v>
      </c>
      <c r="N93" s="31">
        <v>0</v>
      </c>
      <c r="O93" s="31">
        <v>1148</v>
      </c>
      <c r="P93" s="31">
        <v>5410455</v>
      </c>
      <c r="Q93" s="31">
        <v>0</v>
      </c>
      <c r="R93" s="31">
        <v>0</v>
      </c>
      <c r="S93" s="31">
        <v>0</v>
      </c>
      <c r="T93" s="132">
        <v>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f t="shared" ref="AE93:AE98" si="27">ROUND(P93*1.5%,2)</f>
        <v>81156.83</v>
      </c>
      <c r="AF93" s="31">
        <v>0</v>
      </c>
      <c r="AG93" s="31">
        <v>0</v>
      </c>
      <c r="AH93" s="129" t="s">
        <v>274</v>
      </c>
      <c r="AI93" s="129">
        <v>2020</v>
      </c>
      <c r="AJ93" s="129">
        <v>2020</v>
      </c>
    </row>
    <row r="94" spans="1:36" ht="61.5" x14ac:dyDescent="0.85">
      <c r="A94" s="6">
        <v>1</v>
      </c>
      <c r="B94" s="66">
        <f>SUBTOTAL(103,$A$66:A94)</f>
        <v>26</v>
      </c>
      <c r="C94" s="131" t="s">
        <v>1470</v>
      </c>
      <c r="D94" s="72" t="s">
        <v>1439</v>
      </c>
      <c r="E94" s="69">
        <v>0.77911652932310516</v>
      </c>
      <c r="F94" s="31">
        <f t="shared" si="22"/>
        <v>1854405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3">
        <v>0</v>
      </c>
      <c r="N94" s="31">
        <v>0</v>
      </c>
      <c r="O94" s="31">
        <v>812.5</v>
      </c>
      <c r="P94" s="31">
        <v>1827000</v>
      </c>
      <c r="Q94" s="31">
        <v>0</v>
      </c>
      <c r="R94" s="31">
        <v>0</v>
      </c>
      <c r="S94" s="31">
        <v>0</v>
      </c>
      <c r="T94" s="132">
        <v>0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1">
        <f t="shared" si="27"/>
        <v>27405</v>
      </c>
      <c r="AF94" s="31">
        <v>0</v>
      </c>
      <c r="AG94" s="31">
        <v>0</v>
      </c>
      <c r="AH94" s="129" t="s">
        <v>274</v>
      </c>
      <c r="AI94" s="129">
        <v>2020</v>
      </c>
      <c r="AJ94" s="129">
        <v>2020</v>
      </c>
    </row>
    <row r="95" spans="1:36" ht="61.5" x14ac:dyDescent="0.85">
      <c r="A95" s="6">
        <v>1</v>
      </c>
      <c r="B95" s="66">
        <f>SUBTOTAL(103,$A$66:A95)</f>
        <v>27</v>
      </c>
      <c r="C95" s="131" t="s">
        <v>1471</v>
      </c>
      <c r="D95" s="89" t="s">
        <v>1067</v>
      </c>
      <c r="E95" s="69">
        <v>0.64500000000000002</v>
      </c>
      <c r="F95" s="31">
        <f t="shared" si="22"/>
        <v>72573.049999999988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3">
        <v>0</v>
      </c>
      <c r="N95" s="31">
        <v>0</v>
      </c>
      <c r="O95" s="31">
        <v>1240.56</v>
      </c>
      <c r="P95" s="31">
        <v>71500.539999999994</v>
      </c>
      <c r="Q95" s="31">
        <v>0</v>
      </c>
      <c r="R95" s="31">
        <v>0</v>
      </c>
      <c r="S95" s="31">
        <v>0</v>
      </c>
      <c r="T95" s="132">
        <v>0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f t="shared" si="27"/>
        <v>1072.51</v>
      </c>
      <c r="AF95" s="31">
        <v>0</v>
      </c>
      <c r="AG95" s="31">
        <v>0</v>
      </c>
      <c r="AH95" s="129" t="s">
        <v>274</v>
      </c>
      <c r="AI95" s="129">
        <v>2020</v>
      </c>
      <c r="AJ95" s="129">
        <v>2020</v>
      </c>
    </row>
    <row r="96" spans="1:36" ht="61.5" x14ac:dyDescent="0.85">
      <c r="A96" s="6">
        <v>1</v>
      </c>
      <c r="B96" s="66">
        <f>SUBTOTAL(103,$A$66:A96)</f>
        <v>28</v>
      </c>
      <c r="C96" s="131" t="s">
        <v>1472</v>
      </c>
      <c r="D96" s="89" t="s">
        <v>1067</v>
      </c>
      <c r="E96" s="69">
        <v>0.88700000000000001</v>
      </c>
      <c r="F96" s="31">
        <f t="shared" si="22"/>
        <v>166460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3">
        <v>0</v>
      </c>
      <c r="N96" s="31">
        <v>0</v>
      </c>
      <c r="O96" s="31">
        <v>838</v>
      </c>
      <c r="P96" s="31">
        <v>164000</v>
      </c>
      <c r="Q96" s="31">
        <v>0</v>
      </c>
      <c r="R96" s="31">
        <v>0</v>
      </c>
      <c r="S96" s="31">
        <v>0</v>
      </c>
      <c r="T96" s="132">
        <v>0</v>
      </c>
      <c r="U96" s="31">
        <v>0</v>
      </c>
      <c r="V96" s="31">
        <v>0</v>
      </c>
      <c r="W96" s="31">
        <v>0</v>
      </c>
      <c r="X96" s="31">
        <v>0</v>
      </c>
      <c r="Y96" s="31">
        <v>0</v>
      </c>
      <c r="Z96" s="31">
        <v>0</v>
      </c>
      <c r="AA96" s="31">
        <v>0</v>
      </c>
      <c r="AB96" s="31">
        <v>0</v>
      </c>
      <c r="AC96" s="31">
        <v>0</v>
      </c>
      <c r="AD96" s="31">
        <v>0</v>
      </c>
      <c r="AE96" s="31">
        <f t="shared" si="27"/>
        <v>2460</v>
      </c>
      <c r="AF96" s="31">
        <v>0</v>
      </c>
      <c r="AG96" s="31">
        <v>0</v>
      </c>
      <c r="AH96" s="129" t="s">
        <v>274</v>
      </c>
      <c r="AI96" s="129">
        <v>2020</v>
      </c>
      <c r="AJ96" s="129">
        <v>2020</v>
      </c>
    </row>
    <row r="97" spans="1:36" ht="61.5" x14ac:dyDescent="0.85">
      <c r="A97" s="6">
        <v>1</v>
      </c>
      <c r="B97" s="66">
        <f>SUBTOTAL(103,$A$66:A97)</f>
        <v>29</v>
      </c>
      <c r="C97" s="131" t="s">
        <v>1473</v>
      </c>
      <c r="D97" s="89" t="s">
        <v>1067</v>
      </c>
      <c r="E97" s="69">
        <v>0.78459999999999996</v>
      </c>
      <c r="F97" s="31">
        <f t="shared" si="22"/>
        <v>113945.93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3">
        <v>0</v>
      </c>
      <c r="N97" s="31">
        <v>0</v>
      </c>
      <c r="O97" s="31">
        <v>823.2</v>
      </c>
      <c r="P97" s="31">
        <v>112262</v>
      </c>
      <c r="Q97" s="31">
        <v>0</v>
      </c>
      <c r="R97" s="31">
        <v>0</v>
      </c>
      <c r="S97" s="31">
        <v>0</v>
      </c>
      <c r="T97" s="132">
        <v>0</v>
      </c>
      <c r="U97" s="31">
        <v>0</v>
      </c>
      <c r="V97" s="31">
        <v>0</v>
      </c>
      <c r="W97" s="31">
        <v>0</v>
      </c>
      <c r="X97" s="31">
        <v>0</v>
      </c>
      <c r="Y97" s="31">
        <v>0</v>
      </c>
      <c r="Z97" s="31">
        <v>0</v>
      </c>
      <c r="AA97" s="31">
        <v>0</v>
      </c>
      <c r="AB97" s="31">
        <v>0</v>
      </c>
      <c r="AC97" s="31">
        <v>0</v>
      </c>
      <c r="AD97" s="31">
        <v>0</v>
      </c>
      <c r="AE97" s="31">
        <f t="shared" si="27"/>
        <v>1683.93</v>
      </c>
      <c r="AF97" s="31">
        <v>0</v>
      </c>
      <c r="AG97" s="31">
        <v>0</v>
      </c>
      <c r="AH97" s="129" t="s">
        <v>274</v>
      </c>
      <c r="AI97" s="129">
        <v>2020</v>
      </c>
      <c r="AJ97" s="129">
        <v>2020</v>
      </c>
    </row>
    <row r="98" spans="1:36" ht="61.5" x14ac:dyDescent="0.85">
      <c r="A98" s="6">
        <v>1</v>
      </c>
      <c r="B98" s="66">
        <f>SUBTOTAL(103,$A$66:A98)</f>
        <v>30</v>
      </c>
      <c r="C98" s="131" t="s">
        <v>1474</v>
      </c>
      <c r="D98" s="89" t="s">
        <v>1067</v>
      </c>
      <c r="E98" s="69">
        <v>0.70240000000000002</v>
      </c>
      <c r="F98" s="31">
        <f t="shared" si="22"/>
        <v>2836.7200000000003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3">
        <v>0</v>
      </c>
      <c r="N98" s="31">
        <v>0</v>
      </c>
      <c r="O98" s="31">
        <v>472</v>
      </c>
      <c r="P98" s="31">
        <v>2794.8</v>
      </c>
      <c r="Q98" s="31">
        <v>0</v>
      </c>
      <c r="R98" s="31">
        <v>0</v>
      </c>
      <c r="S98" s="31">
        <v>0</v>
      </c>
      <c r="T98" s="132">
        <v>0</v>
      </c>
      <c r="U98" s="31">
        <v>0</v>
      </c>
      <c r="V98" s="31">
        <v>0</v>
      </c>
      <c r="W98" s="31">
        <v>0</v>
      </c>
      <c r="X98" s="31">
        <v>0</v>
      </c>
      <c r="Y98" s="31">
        <v>0</v>
      </c>
      <c r="Z98" s="31">
        <v>0</v>
      </c>
      <c r="AA98" s="31">
        <v>0</v>
      </c>
      <c r="AB98" s="31">
        <v>0</v>
      </c>
      <c r="AC98" s="31">
        <v>0</v>
      </c>
      <c r="AD98" s="31">
        <v>0</v>
      </c>
      <c r="AE98" s="31">
        <f t="shared" si="27"/>
        <v>41.92</v>
      </c>
      <c r="AF98" s="31">
        <v>0</v>
      </c>
      <c r="AG98" s="31">
        <v>0</v>
      </c>
      <c r="AH98" s="129" t="s">
        <v>274</v>
      </c>
      <c r="AI98" s="129">
        <v>2020</v>
      </c>
      <c r="AJ98" s="129">
        <v>2020</v>
      </c>
    </row>
    <row r="99" spans="1:36" ht="62.25" x14ac:dyDescent="0.9">
      <c r="B99" s="175" t="s">
        <v>847</v>
      </c>
      <c r="C99" s="176"/>
      <c r="D99" s="130" t="s">
        <v>916</v>
      </c>
      <c r="E99" s="69">
        <f>AVERAGE(E100:E103)</f>
        <v>0.6400023136337607</v>
      </c>
      <c r="F99" s="31">
        <f>SUM(F100:F103)</f>
        <v>202477.66</v>
      </c>
      <c r="G99" s="31">
        <f t="shared" ref="G99:AG99" si="28">SUM(G100:G103)</f>
        <v>0</v>
      </c>
      <c r="H99" s="31">
        <f t="shared" si="28"/>
        <v>0</v>
      </c>
      <c r="I99" s="31">
        <f t="shared" si="28"/>
        <v>0</v>
      </c>
      <c r="J99" s="31">
        <f t="shared" si="28"/>
        <v>0</v>
      </c>
      <c r="K99" s="31">
        <f t="shared" si="28"/>
        <v>0</v>
      </c>
      <c r="L99" s="31">
        <f t="shared" si="28"/>
        <v>0</v>
      </c>
      <c r="M99" s="33">
        <f t="shared" si="28"/>
        <v>0</v>
      </c>
      <c r="N99" s="31">
        <f t="shared" si="28"/>
        <v>0</v>
      </c>
      <c r="O99" s="31">
        <f t="shared" si="28"/>
        <v>1984</v>
      </c>
      <c r="P99" s="31">
        <f t="shared" si="28"/>
        <v>199485.37999999998</v>
      </c>
      <c r="Q99" s="31">
        <f t="shared" si="28"/>
        <v>0</v>
      </c>
      <c r="R99" s="31">
        <f t="shared" si="28"/>
        <v>0</v>
      </c>
      <c r="S99" s="31">
        <f t="shared" si="28"/>
        <v>0</v>
      </c>
      <c r="T99" s="31">
        <f t="shared" si="28"/>
        <v>0</v>
      </c>
      <c r="U99" s="31">
        <f t="shared" si="28"/>
        <v>0</v>
      </c>
      <c r="V99" s="31">
        <f t="shared" si="28"/>
        <v>0</v>
      </c>
      <c r="W99" s="31">
        <f t="shared" si="28"/>
        <v>0</v>
      </c>
      <c r="X99" s="31">
        <f t="shared" si="28"/>
        <v>0</v>
      </c>
      <c r="Y99" s="31">
        <f t="shared" si="28"/>
        <v>0</v>
      </c>
      <c r="Z99" s="31">
        <f t="shared" si="28"/>
        <v>0</v>
      </c>
      <c r="AA99" s="31">
        <f t="shared" si="28"/>
        <v>0</v>
      </c>
      <c r="AB99" s="31">
        <f t="shared" si="28"/>
        <v>0</v>
      </c>
      <c r="AC99" s="31">
        <f t="shared" si="28"/>
        <v>0</v>
      </c>
      <c r="AD99" s="31">
        <f t="shared" si="28"/>
        <v>0</v>
      </c>
      <c r="AE99" s="31">
        <f t="shared" si="28"/>
        <v>2992.2799999999997</v>
      </c>
      <c r="AF99" s="31">
        <f t="shared" si="28"/>
        <v>0</v>
      </c>
      <c r="AG99" s="31">
        <f t="shared" si="28"/>
        <v>0</v>
      </c>
      <c r="AH99" s="129" t="s">
        <v>916</v>
      </c>
      <c r="AI99" s="129" t="s">
        <v>916</v>
      </c>
      <c r="AJ99" s="129" t="s">
        <v>916</v>
      </c>
    </row>
    <row r="100" spans="1:36" ht="61.5" x14ac:dyDescent="0.85">
      <c r="A100" s="6">
        <v>1</v>
      </c>
      <c r="B100" s="66">
        <f>SUBTOTAL(103,$A$66:A100)</f>
        <v>31</v>
      </c>
      <c r="C100" s="131" t="s">
        <v>1475</v>
      </c>
      <c r="D100" s="89" t="s">
        <v>1068</v>
      </c>
      <c r="E100" s="69">
        <v>0.4062203289705193</v>
      </c>
      <c r="F100" s="31">
        <f t="shared" si="22"/>
        <v>58593.41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3">
        <v>0</v>
      </c>
      <c r="N100" s="31">
        <v>0</v>
      </c>
      <c r="O100" s="134">
        <v>412</v>
      </c>
      <c r="P100" s="31">
        <v>57727.5</v>
      </c>
      <c r="Q100" s="31">
        <v>0</v>
      </c>
      <c r="R100" s="31">
        <v>0</v>
      </c>
      <c r="S100" s="31">
        <v>0</v>
      </c>
      <c r="T100" s="132">
        <v>0</v>
      </c>
      <c r="U100" s="31">
        <v>0</v>
      </c>
      <c r="V100" s="31">
        <v>0</v>
      </c>
      <c r="W100" s="31">
        <v>0</v>
      </c>
      <c r="X100" s="31">
        <v>0</v>
      </c>
      <c r="Y100" s="31">
        <v>0</v>
      </c>
      <c r="Z100" s="31">
        <v>0</v>
      </c>
      <c r="AA100" s="31">
        <v>0</v>
      </c>
      <c r="AB100" s="31">
        <v>0</v>
      </c>
      <c r="AC100" s="31">
        <v>0</v>
      </c>
      <c r="AD100" s="31">
        <v>0</v>
      </c>
      <c r="AE100" s="31">
        <f>ROUND(P100*1.5%,2)</f>
        <v>865.91</v>
      </c>
      <c r="AF100" s="31">
        <v>0</v>
      </c>
      <c r="AG100" s="31">
        <v>0</v>
      </c>
      <c r="AH100" s="129" t="s">
        <v>274</v>
      </c>
      <c r="AI100" s="129">
        <v>2020</v>
      </c>
      <c r="AJ100" s="129">
        <v>2020</v>
      </c>
    </row>
    <row r="101" spans="1:36" ht="61.5" x14ac:dyDescent="0.85">
      <c r="A101" s="6">
        <v>1</v>
      </c>
      <c r="B101" s="66">
        <f>SUBTOTAL(103,$A$66:A101)</f>
        <v>32</v>
      </c>
      <c r="C101" s="131" t="s">
        <v>1476</v>
      </c>
      <c r="D101" s="72" t="s">
        <v>1071</v>
      </c>
      <c r="E101" s="69">
        <v>0.69908892556452351</v>
      </c>
      <c r="F101" s="31">
        <f t="shared" si="22"/>
        <v>15225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3">
        <v>0</v>
      </c>
      <c r="N101" s="31">
        <v>0</v>
      </c>
      <c r="O101" s="31">
        <v>508</v>
      </c>
      <c r="P101" s="31">
        <v>15000</v>
      </c>
      <c r="Q101" s="31">
        <v>0</v>
      </c>
      <c r="R101" s="31">
        <v>0</v>
      </c>
      <c r="S101" s="31">
        <v>0</v>
      </c>
      <c r="T101" s="132">
        <v>0</v>
      </c>
      <c r="U101" s="31">
        <v>0</v>
      </c>
      <c r="V101" s="31">
        <v>0</v>
      </c>
      <c r="W101" s="31">
        <v>0</v>
      </c>
      <c r="X101" s="31">
        <v>0</v>
      </c>
      <c r="Y101" s="31">
        <v>0</v>
      </c>
      <c r="Z101" s="31">
        <v>0</v>
      </c>
      <c r="AA101" s="31">
        <v>0</v>
      </c>
      <c r="AB101" s="31">
        <v>0</v>
      </c>
      <c r="AC101" s="31">
        <v>0</v>
      </c>
      <c r="AD101" s="31">
        <v>0</v>
      </c>
      <c r="AE101" s="31">
        <f>ROUND(P101*1.5%,2)</f>
        <v>225</v>
      </c>
      <c r="AF101" s="31">
        <v>0</v>
      </c>
      <c r="AG101" s="31">
        <v>0</v>
      </c>
      <c r="AH101" s="129" t="s">
        <v>274</v>
      </c>
      <c r="AI101" s="129">
        <v>2020</v>
      </c>
      <c r="AJ101" s="129">
        <v>2020</v>
      </c>
    </row>
    <row r="102" spans="1:36" ht="61.5" x14ac:dyDescent="0.85">
      <c r="A102" s="6">
        <v>1</v>
      </c>
      <c r="B102" s="66">
        <f>SUBTOTAL(103,$A$66:A102)</f>
        <v>33</v>
      </c>
      <c r="C102" s="131" t="s">
        <v>1477</v>
      </c>
      <c r="D102" s="89" t="s">
        <v>1067</v>
      </c>
      <c r="E102" s="69">
        <v>0.53310000000000002</v>
      </c>
      <c r="F102" s="31">
        <f t="shared" si="22"/>
        <v>77739.22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3">
        <v>0</v>
      </c>
      <c r="N102" s="31">
        <v>0</v>
      </c>
      <c r="O102" s="31">
        <v>730</v>
      </c>
      <c r="P102" s="31">
        <v>76590.36</v>
      </c>
      <c r="Q102" s="31">
        <v>0</v>
      </c>
      <c r="R102" s="31">
        <v>0</v>
      </c>
      <c r="S102" s="31">
        <v>0</v>
      </c>
      <c r="T102" s="132">
        <v>0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0</v>
      </c>
      <c r="AD102" s="31">
        <v>0</v>
      </c>
      <c r="AE102" s="31">
        <f>ROUND(P102*1.5%,2)</f>
        <v>1148.8599999999999</v>
      </c>
      <c r="AF102" s="31">
        <v>0</v>
      </c>
      <c r="AG102" s="31">
        <v>0</v>
      </c>
      <c r="AH102" s="129" t="s">
        <v>274</v>
      </c>
      <c r="AI102" s="129">
        <v>2020</v>
      </c>
      <c r="AJ102" s="129">
        <v>2020</v>
      </c>
    </row>
    <row r="103" spans="1:36" ht="61.5" x14ac:dyDescent="0.85">
      <c r="A103" s="6">
        <v>1</v>
      </c>
      <c r="B103" s="66">
        <f>SUBTOTAL(103,$A$66:A103)</f>
        <v>34</v>
      </c>
      <c r="C103" s="131" t="s">
        <v>1478</v>
      </c>
      <c r="D103" s="89" t="s">
        <v>1437</v>
      </c>
      <c r="E103" s="69">
        <v>0.92159999999999997</v>
      </c>
      <c r="F103" s="31">
        <f t="shared" si="22"/>
        <v>50920.03</v>
      </c>
      <c r="G103" s="31">
        <v>0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  <c r="M103" s="33">
        <v>0</v>
      </c>
      <c r="N103" s="31">
        <v>0</v>
      </c>
      <c r="O103" s="31">
        <v>334</v>
      </c>
      <c r="P103" s="31">
        <v>50167.519999999997</v>
      </c>
      <c r="Q103" s="31">
        <v>0</v>
      </c>
      <c r="R103" s="31">
        <v>0</v>
      </c>
      <c r="S103" s="31">
        <v>0</v>
      </c>
      <c r="T103" s="132">
        <v>0</v>
      </c>
      <c r="U103" s="31">
        <v>0</v>
      </c>
      <c r="V103" s="31">
        <v>0</v>
      </c>
      <c r="W103" s="31">
        <v>0</v>
      </c>
      <c r="X103" s="31">
        <v>0</v>
      </c>
      <c r="Y103" s="31">
        <v>0</v>
      </c>
      <c r="Z103" s="31">
        <v>0</v>
      </c>
      <c r="AA103" s="31">
        <v>0</v>
      </c>
      <c r="AB103" s="31">
        <v>0</v>
      </c>
      <c r="AC103" s="31">
        <v>0</v>
      </c>
      <c r="AD103" s="31">
        <v>0</v>
      </c>
      <c r="AE103" s="31">
        <f>ROUND(P103*1.5%,2)</f>
        <v>752.51</v>
      </c>
      <c r="AF103" s="31">
        <v>0</v>
      </c>
      <c r="AG103" s="31">
        <v>0</v>
      </c>
      <c r="AH103" s="129" t="s">
        <v>274</v>
      </c>
      <c r="AI103" s="129">
        <v>2020</v>
      </c>
      <c r="AJ103" s="129">
        <v>2020</v>
      </c>
    </row>
    <row r="104" spans="1:36" ht="62.25" x14ac:dyDescent="0.9">
      <c r="B104" s="175" t="s">
        <v>785</v>
      </c>
      <c r="C104" s="176"/>
      <c r="D104" s="130" t="s">
        <v>916</v>
      </c>
      <c r="E104" s="69">
        <f>AVERAGE(E105:E130)</f>
        <v>0.85738159786662282</v>
      </c>
      <c r="F104" s="31">
        <f>SUM(F105:F130)</f>
        <v>10774561.139999999</v>
      </c>
      <c r="G104" s="31">
        <f t="shared" ref="G104:AG104" si="29">SUM(G105:G130)</f>
        <v>7510</v>
      </c>
      <c r="H104" s="31">
        <f t="shared" si="29"/>
        <v>0</v>
      </c>
      <c r="I104" s="31">
        <f t="shared" si="29"/>
        <v>537439.67000000004</v>
      </c>
      <c r="J104" s="31">
        <f t="shared" si="29"/>
        <v>0</v>
      </c>
      <c r="K104" s="31">
        <f t="shared" si="29"/>
        <v>265366.61</v>
      </c>
      <c r="L104" s="31">
        <f t="shared" si="29"/>
        <v>0</v>
      </c>
      <c r="M104" s="33">
        <f t="shared" si="29"/>
        <v>0</v>
      </c>
      <c r="N104" s="31">
        <f t="shared" si="29"/>
        <v>0</v>
      </c>
      <c r="O104" s="31">
        <f t="shared" si="29"/>
        <v>15975.539999999999</v>
      </c>
      <c r="P104" s="31">
        <f t="shared" si="29"/>
        <v>9143000.0700000003</v>
      </c>
      <c r="Q104" s="31">
        <f t="shared" si="29"/>
        <v>0</v>
      </c>
      <c r="R104" s="31">
        <f t="shared" si="29"/>
        <v>0</v>
      </c>
      <c r="S104" s="31">
        <f t="shared" si="29"/>
        <v>5134.45</v>
      </c>
      <c r="T104" s="31">
        <f t="shared" si="29"/>
        <v>662014.80000000005</v>
      </c>
      <c r="U104" s="31">
        <f t="shared" si="29"/>
        <v>0</v>
      </c>
      <c r="V104" s="31">
        <f t="shared" si="29"/>
        <v>0</v>
      </c>
      <c r="W104" s="31">
        <f t="shared" si="29"/>
        <v>0</v>
      </c>
      <c r="X104" s="31">
        <f t="shared" si="29"/>
        <v>0</v>
      </c>
      <c r="Y104" s="31">
        <f t="shared" si="29"/>
        <v>0</v>
      </c>
      <c r="Z104" s="31">
        <f t="shared" si="29"/>
        <v>0</v>
      </c>
      <c r="AA104" s="31">
        <f t="shared" si="29"/>
        <v>0</v>
      </c>
      <c r="AB104" s="31">
        <f t="shared" si="29"/>
        <v>0</v>
      </c>
      <c r="AC104" s="31">
        <f t="shared" si="29"/>
        <v>0</v>
      </c>
      <c r="AD104" s="31">
        <f t="shared" si="29"/>
        <v>0</v>
      </c>
      <c r="AE104" s="31">
        <f t="shared" si="29"/>
        <v>159229.99</v>
      </c>
      <c r="AF104" s="31">
        <f t="shared" si="29"/>
        <v>0</v>
      </c>
      <c r="AG104" s="31">
        <f t="shared" si="29"/>
        <v>0</v>
      </c>
      <c r="AH104" s="129" t="s">
        <v>916</v>
      </c>
      <c r="AI104" s="129" t="s">
        <v>916</v>
      </c>
      <c r="AJ104" s="129" t="s">
        <v>916</v>
      </c>
    </row>
    <row r="105" spans="1:36" ht="61.5" x14ac:dyDescent="0.85">
      <c r="A105" s="6">
        <v>1</v>
      </c>
      <c r="B105" s="66">
        <f>SUBTOTAL(103,$A$66:A105)</f>
        <v>35</v>
      </c>
      <c r="C105" s="131" t="s">
        <v>1479</v>
      </c>
      <c r="D105" s="72" t="s">
        <v>1068</v>
      </c>
      <c r="E105" s="69">
        <v>0.87120114478643584</v>
      </c>
      <c r="F105" s="31">
        <f t="shared" si="22"/>
        <v>15597.11</v>
      </c>
      <c r="G105" s="31">
        <v>0</v>
      </c>
      <c r="H105" s="31">
        <v>0</v>
      </c>
      <c r="I105" s="31">
        <v>0</v>
      </c>
      <c r="J105" s="31">
        <v>0</v>
      </c>
      <c r="K105" s="31">
        <v>15366.61</v>
      </c>
      <c r="L105" s="31">
        <v>0</v>
      </c>
      <c r="M105" s="33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132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f>ROUND(K105*1.5%,2)</f>
        <v>230.5</v>
      </c>
      <c r="AF105" s="31">
        <v>0</v>
      </c>
      <c r="AG105" s="31">
        <v>0</v>
      </c>
      <c r="AH105" s="129" t="s">
        <v>274</v>
      </c>
      <c r="AI105" s="129">
        <v>2020</v>
      </c>
      <c r="AJ105" s="129">
        <v>2020</v>
      </c>
    </row>
    <row r="106" spans="1:36" ht="61.5" x14ac:dyDescent="0.85">
      <c r="A106" s="6">
        <v>1</v>
      </c>
      <c r="B106" s="66">
        <f>SUBTOTAL(103,$A$66:A106)</f>
        <v>36</v>
      </c>
      <c r="C106" s="131" t="s">
        <v>1480</v>
      </c>
      <c r="D106" s="72" t="s">
        <v>1067</v>
      </c>
      <c r="E106" s="69">
        <v>0.88725132075072177</v>
      </c>
      <c r="F106" s="31">
        <f t="shared" si="22"/>
        <v>2167706.4899999998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3">
        <v>0</v>
      </c>
      <c r="N106" s="31">
        <v>0</v>
      </c>
      <c r="O106" s="31">
        <v>1600</v>
      </c>
      <c r="P106" s="31">
        <v>2135671.42</v>
      </c>
      <c r="Q106" s="31">
        <v>0</v>
      </c>
      <c r="R106" s="31">
        <v>0</v>
      </c>
      <c r="S106" s="31">
        <v>0</v>
      </c>
      <c r="T106" s="132">
        <v>0</v>
      </c>
      <c r="U106" s="31">
        <v>0</v>
      </c>
      <c r="V106" s="31">
        <v>0</v>
      </c>
      <c r="W106" s="31">
        <v>0</v>
      </c>
      <c r="X106" s="31">
        <v>0</v>
      </c>
      <c r="Y106" s="31">
        <v>0</v>
      </c>
      <c r="Z106" s="31">
        <v>0</v>
      </c>
      <c r="AA106" s="31">
        <v>0</v>
      </c>
      <c r="AB106" s="31">
        <v>0</v>
      </c>
      <c r="AC106" s="31">
        <v>0</v>
      </c>
      <c r="AD106" s="31">
        <v>0</v>
      </c>
      <c r="AE106" s="31">
        <f t="shared" ref="AE106:AE113" si="30">ROUND(P106*1.5%,2)</f>
        <v>32035.07</v>
      </c>
      <c r="AF106" s="31">
        <v>0</v>
      </c>
      <c r="AG106" s="31">
        <v>0</v>
      </c>
      <c r="AH106" s="129" t="s">
        <v>274</v>
      </c>
      <c r="AI106" s="129">
        <v>2020</v>
      </c>
      <c r="AJ106" s="129">
        <v>2020</v>
      </c>
    </row>
    <row r="107" spans="1:36" ht="61.5" x14ac:dyDescent="0.85">
      <c r="A107" s="6">
        <v>1</v>
      </c>
      <c r="B107" s="66">
        <f>SUBTOTAL(103,$A$66:A107)</f>
        <v>37</v>
      </c>
      <c r="C107" s="131" t="s">
        <v>1481</v>
      </c>
      <c r="D107" s="72" t="s">
        <v>1067</v>
      </c>
      <c r="E107" s="69">
        <v>0.86073469797958557</v>
      </c>
      <c r="F107" s="31">
        <f t="shared" si="22"/>
        <v>510545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3">
        <v>0</v>
      </c>
      <c r="N107" s="31">
        <v>0</v>
      </c>
      <c r="O107" s="31">
        <v>824.88</v>
      </c>
      <c r="P107" s="31">
        <v>503000</v>
      </c>
      <c r="Q107" s="31">
        <v>0</v>
      </c>
      <c r="R107" s="31">
        <v>0</v>
      </c>
      <c r="S107" s="31">
        <v>0</v>
      </c>
      <c r="T107" s="132">
        <v>0</v>
      </c>
      <c r="U107" s="31">
        <v>0</v>
      </c>
      <c r="V107" s="31">
        <v>0</v>
      </c>
      <c r="W107" s="31">
        <v>0</v>
      </c>
      <c r="X107" s="31">
        <v>0</v>
      </c>
      <c r="Y107" s="31">
        <v>0</v>
      </c>
      <c r="Z107" s="31">
        <v>0</v>
      </c>
      <c r="AA107" s="31">
        <v>0</v>
      </c>
      <c r="AB107" s="31">
        <v>0</v>
      </c>
      <c r="AC107" s="31">
        <v>0</v>
      </c>
      <c r="AD107" s="31">
        <v>0</v>
      </c>
      <c r="AE107" s="31">
        <f t="shared" si="30"/>
        <v>7545</v>
      </c>
      <c r="AF107" s="31">
        <v>0</v>
      </c>
      <c r="AG107" s="31">
        <v>0</v>
      </c>
      <c r="AH107" s="129" t="s">
        <v>274</v>
      </c>
      <c r="AI107" s="129">
        <v>2020</v>
      </c>
      <c r="AJ107" s="129">
        <v>2020</v>
      </c>
    </row>
    <row r="108" spans="1:36" ht="61.5" x14ac:dyDescent="0.85">
      <c r="A108" s="6">
        <v>1</v>
      </c>
      <c r="B108" s="66">
        <f>SUBTOTAL(103,$A$66:A108)</f>
        <v>38</v>
      </c>
      <c r="C108" s="131" t="s">
        <v>1482</v>
      </c>
      <c r="D108" s="89" t="s">
        <v>1066</v>
      </c>
      <c r="E108" s="69">
        <v>0.94940000000000002</v>
      </c>
      <c r="F108" s="31">
        <f t="shared" si="22"/>
        <v>468233.13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3">
        <v>0</v>
      </c>
      <c r="N108" s="31">
        <v>0</v>
      </c>
      <c r="O108" s="31">
        <v>477.6</v>
      </c>
      <c r="P108" s="31">
        <v>461313.43</v>
      </c>
      <c r="Q108" s="31">
        <v>0</v>
      </c>
      <c r="R108" s="31">
        <v>0</v>
      </c>
      <c r="S108" s="31">
        <v>0</v>
      </c>
      <c r="T108" s="132">
        <v>0</v>
      </c>
      <c r="U108" s="31">
        <v>0</v>
      </c>
      <c r="V108" s="31">
        <v>0</v>
      </c>
      <c r="W108" s="31">
        <v>0</v>
      </c>
      <c r="X108" s="31">
        <v>0</v>
      </c>
      <c r="Y108" s="31">
        <v>0</v>
      </c>
      <c r="Z108" s="31">
        <v>0</v>
      </c>
      <c r="AA108" s="31">
        <v>0</v>
      </c>
      <c r="AB108" s="31">
        <v>0</v>
      </c>
      <c r="AC108" s="31">
        <v>0</v>
      </c>
      <c r="AD108" s="31">
        <v>0</v>
      </c>
      <c r="AE108" s="31">
        <f t="shared" si="30"/>
        <v>6919.7</v>
      </c>
      <c r="AF108" s="31">
        <v>0</v>
      </c>
      <c r="AG108" s="31">
        <v>0</v>
      </c>
      <c r="AH108" s="129" t="s">
        <v>274</v>
      </c>
      <c r="AI108" s="129">
        <v>2020</v>
      </c>
      <c r="AJ108" s="129">
        <v>2020</v>
      </c>
    </row>
    <row r="109" spans="1:36" ht="61.5" x14ac:dyDescent="0.85">
      <c r="A109" s="6">
        <v>1</v>
      </c>
      <c r="B109" s="66">
        <f>SUBTOTAL(103,$A$66:A109)</f>
        <v>39</v>
      </c>
      <c r="C109" s="131" t="s">
        <v>1483</v>
      </c>
      <c r="D109" s="89" t="s">
        <v>1071</v>
      </c>
      <c r="E109" s="69">
        <v>0.50380000000000003</v>
      </c>
      <c r="F109" s="31">
        <f t="shared" si="22"/>
        <v>450205.28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3">
        <v>0</v>
      </c>
      <c r="N109" s="31">
        <v>0</v>
      </c>
      <c r="O109" s="31">
        <v>1104</v>
      </c>
      <c r="P109" s="31">
        <v>443552</v>
      </c>
      <c r="Q109" s="31">
        <v>0</v>
      </c>
      <c r="R109" s="31">
        <v>0</v>
      </c>
      <c r="S109" s="31">
        <v>0</v>
      </c>
      <c r="T109" s="132">
        <v>0</v>
      </c>
      <c r="U109" s="31">
        <v>0</v>
      </c>
      <c r="V109" s="31">
        <v>0</v>
      </c>
      <c r="W109" s="31">
        <v>0</v>
      </c>
      <c r="X109" s="31">
        <v>0</v>
      </c>
      <c r="Y109" s="31">
        <v>0</v>
      </c>
      <c r="Z109" s="31">
        <v>0</v>
      </c>
      <c r="AA109" s="31">
        <v>0</v>
      </c>
      <c r="AB109" s="31">
        <v>0</v>
      </c>
      <c r="AC109" s="31">
        <v>0</v>
      </c>
      <c r="AD109" s="31">
        <v>0</v>
      </c>
      <c r="AE109" s="31">
        <f t="shared" si="30"/>
        <v>6653.28</v>
      </c>
      <c r="AF109" s="31">
        <v>0</v>
      </c>
      <c r="AG109" s="31">
        <v>0</v>
      </c>
      <c r="AH109" s="129" t="s">
        <v>274</v>
      </c>
      <c r="AI109" s="129">
        <v>2020</v>
      </c>
      <c r="AJ109" s="129">
        <v>2020</v>
      </c>
    </row>
    <row r="110" spans="1:36" ht="61.5" x14ac:dyDescent="0.85">
      <c r="A110" s="6">
        <v>1</v>
      </c>
      <c r="B110" s="66">
        <f>SUBTOTAL(103,$A$66:A110)</f>
        <v>40</v>
      </c>
      <c r="C110" s="131" t="s">
        <v>1484</v>
      </c>
      <c r="D110" s="89" t="s">
        <v>1438</v>
      </c>
      <c r="E110" s="69">
        <v>0.97430000000000005</v>
      </c>
      <c r="F110" s="31">
        <f t="shared" si="22"/>
        <v>66602.679999999993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3">
        <v>0</v>
      </c>
      <c r="N110" s="31">
        <v>0</v>
      </c>
      <c r="O110" s="31">
        <v>775</v>
      </c>
      <c r="P110" s="31">
        <v>65618.399999999994</v>
      </c>
      <c r="Q110" s="31">
        <v>0</v>
      </c>
      <c r="R110" s="31">
        <v>0</v>
      </c>
      <c r="S110" s="31">
        <v>0</v>
      </c>
      <c r="T110" s="132">
        <v>0</v>
      </c>
      <c r="U110" s="31">
        <v>0</v>
      </c>
      <c r="V110" s="31">
        <v>0</v>
      </c>
      <c r="W110" s="31">
        <v>0</v>
      </c>
      <c r="X110" s="31">
        <v>0</v>
      </c>
      <c r="Y110" s="31">
        <v>0</v>
      </c>
      <c r="Z110" s="31">
        <v>0</v>
      </c>
      <c r="AA110" s="31">
        <v>0</v>
      </c>
      <c r="AB110" s="31">
        <v>0</v>
      </c>
      <c r="AC110" s="31">
        <v>0</v>
      </c>
      <c r="AD110" s="31">
        <v>0</v>
      </c>
      <c r="AE110" s="31">
        <f t="shared" si="30"/>
        <v>984.28</v>
      </c>
      <c r="AF110" s="31">
        <v>0</v>
      </c>
      <c r="AG110" s="31">
        <v>0</v>
      </c>
      <c r="AH110" s="129" t="s">
        <v>274</v>
      </c>
      <c r="AI110" s="129">
        <v>2020</v>
      </c>
      <c r="AJ110" s="129">
        <v>2020</v>
      </c>
    </row>
    <row r="111" spans="1:36" ht="61.5" x14ac:dyDescent="0.85">
      <c r="A111" s="6">
        <v>1</v>
      </c>
      <c r="B111" s="66">
        <f>SUBTOTAL(103,$A$66:A111)</f>
        <v>41</v>
      </c>
      <c r="C111" s="131" t="s">
        <v>1485</v>
      </c>
      <c r="D111" s="89" t="s">
        <v>1067</v>
      </c>
      <c r="E111" s="69">
        <v>0.93600000000000005</v>
      </c>
      <c r="F111" s="31">
        <f t="shared" si="22"/>
        <v>1522500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3">
        <v>0</v>
      </c>
      <c r="N111" s="31">
        <v>0</v>
      </c>
      <c r="O111" s="31">
        <v>1110</v>
      </c>
      <c r="P111" s="31">
        <v>1500000</v>
      </c>
      <c r="Q111" s="31">
        <v>0</v>
      </c>
      <c r="R111" s="31">
        <v>0</v>
      </c>
      <c r="S111" s="31">
        <v>0</v>
      </c>
      <c r="T111" s="132">
        <v>0</v>
      </c>
      <c r="U111" s="31">
        <v>0</v>
      </c>
      <c r="V111" s="31">
        <v>0</v>
      </c>
      <c r="W111" s="31">
        <v>0</v>
      </c>
      <c r="X111" s="31">
        <v>0</v>
      </c>
      <c r="Y111" s="31">
        <v>0</v>
      </c>
      <c r="Z111" s="31">
        <v>0</v>
      </c>
      <c r="AA111" s="31">
        <v>0</v>
      </c>
      <c r="AB111" s="31">
        <v>0</v>
      </c>
      <c r="AC111" s="31">
        <v>0</v>
      </c>
      <c r="AD111" s="31">
        <v>0</v>
      </c>
      <c r="AE111" s="31">
        <f t="shared" si="30"/>
        <v>22500</v>
      </c>
      <c r="AF111" s="31">
        <v>0</v>
      </c>
      <c r="AG111" s="31">
        <v>0</v>
      </c>
      <c r="AH111" s="129" t="s">
        <v>274</v>
      </c>
      <c r="AI111" s="129">
        <v>2020</v>
      </c>
      <c r="AJ111" s="129">
        <v>2020</v>
      </c>
    </row>
    <row r="112" spans="1:36" ht="61.5" x14ac:dyDescent="0.85">
      <c r="A112" s="6">
        <v>1</v>
      </c>
      <c r="B112" s="66">
        <f>SUBTOTAL(103,$A$66:A112)</f>
        <v>42</v>
      </c>
      <c r="C112" s="131" t="s">
        <v>1486</v>
      </c>
      <c r="D112" s="89" t="s">
        <v>1067</v>
      </c>
      <c r="E112" s="69">
        <v>0.91669999999999996</v>
      </c>
      <c r="F112" s="31">
        <f t="shared" si="22"/>
        <v>1389919.69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3">
        <v>0</v>
      </c>
      <c r="N112" s="31">
        <v>0</v>
      </c>
      <c r="O112" s="31">
        <v>1586.2</v>
      </c>
      <c r="P112" s="31">
        <v>1369379</v>
      </c>
      <c r="Q112" s="31">
        <v>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f t="shared" si="30"/>
        <v>20540.689999999999</v>
      </c>
      <c r="AF112" s="31">
        <v>0</v>
      </c>
      <c r="AG112" s="31">
        <v>0</v>
      </c>
      <c r="AH112" s="129" t="s">
        <v>274</v>
      </c>
      <c r="AI112" s="129">
        <v>2020</v>
      </c>
      <c r="AJ112" s="129">
        <v>2020</v>
      </c>
    </row>
    <row r="113" spans="1:36" ht="61.5" x14ac:dyDescent="0.85">
      <c r="A113" s="6">
        <v>1</v>
      </c>
      <c r="B113" s="66">
        <f>SUBTOTAL(103,$A$66:A113)</f>
        <v>43</v>
      </c>
      <c r="C113" s="131" t="s">
        <v>1487</v>
      </c>
      <c r="D113" s="89" t="s">
        <v>1067</v>
      </c>
      <c r="E113" s="69">
        <v>0.87539999999999996</v>
      </c>
      <c r="F113" s="31">
        <f t="shared" si="22"/>
        <v>67681.820000000007</v>
      </c>
      <c r="G113" s="31">
        <v>0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  <c r="M113" s="33">
        <v>0</v>
      </c>
      <c r="N113" s="31">
        <v>0</v>
      </c>
      <c r="O113" s="31">
        <v>711</v>
      </c>
      <c r="P113" s="31">
        <v>66681.600000000006</v>
      </c>
      <c r="Q113" s="31">
        <v>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1">
        <v>0</v>
      </c>
      <c r="Y113" s="31">
        <v>0</v>
      </c>
      <c r="Z113" s="31">
        <v>0</v>
      </c>
      <c r="AA113" s="31">
        <v>0</v>
      </c>
      <c r="AB113" s="31">
        <v>0</v>
      </c>
      <c r="AC113" s="31">
        <v>0</v>
      </c>
      <c r="AD113" s="31">
        <v>0</v>
      </c>
      <c r="AE113" s="31">
        <f t="shared" si="30"/>
        <v>1000.22</v>
      </c>
      <c r="AF113" s="31">
        <v>0</v>
      </c>
      <c r="AG113" s="31">
        <v>0</v>
      </c>
      <c r="AH113" s="129" t="s">
        <v>274</v>
      </c>
      <c r="AI113" s="129">
        <v>2020</v>
      </c>
      <c r="AJ113" s="129">
        <v>2020</v>
      </c>
    </row>
    <row r="114" spans="1:36" ht="61.5" x14ac:dyDescent="0.85">
      <c r="A114" s="6">
        <v>1</v>
      </c>
      <c r="B114" s="66">
        <f>SUBTOTAL(103,$A$66:A114)</f>
        <v>44</v>
      </c>
      <c r="C114" s="131" t="s">
        <v>1488</v>
      </c>
      <c r="D114" s="89" t="s">
        <v>1070</v>
      </c>
      <c r="E114" s="69">
        <v>0.86950000000000005</v>
      </c>
      <c r="F114" s="31">
        <f t="shared" si="22"/>
        <v>253750</v>
      </c>
      <c r="G114" s="31">
        <v>0</v>
      </c>
      <c r="H114" s="31">
        <v>0</v>
      </c>
      <c r="I114" s="31">
        <v>0</v>
      </c>
      <c r="J114" s="31">
        <v>0</v>
      </c>
      <c r="K114" s="31">
        <v>250000</v>
      </c>
      <c r="L114" s="31">
        <v>0</v>
      </c>
      <c r="M114" s="33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31">
        <v>0</v>
      </c>
      <c r="T114" s="31">
        <v>0</v>
      </c>
      <c r="U114" s="31">
        <v>0</v>
      </c>
      <c r="V114" s="31">
        <v>0</v>
      </c>
      <c r="W114" s="31">
        <v>0</v>
      </c>
      <c r="X114" s="31">
        <v>0</v>
      </c>
      <c r="Y114" s="31">
        <v>0</v>
      </c>
      <c r="Z114" s="31">
        <v>0</v>
      </c>
      <c r="AA114" s="31">
        <v>0</v>
      </c>
      <c r="AB114" s="31">
        <v>0</v>
      </c>
      <c r="AC114" s="31">
        <v>0</v>
      </c>
      <c r="AD114" s="31">
        <v>0</v>
      </c>
      <c r="AE114" s="31">
        <f>ROUND(K114*1.5%,2)</f>
        <v>3750</v>
      </c>
      <c r="AF114" s="31">
        <v>0</v>
      </c>
      <c r="AG114" s="31">
        <v>0</v>
      </c>
      <c r="AH114" s="129" t="s">
        <v>274</v>
      </c>
      <c r="AI114" s="129">
        <v>2020</v>
      </c>
      <c r="AJ114" s="129">
        <v>2020</v>
      </c>
    </row>
    <row r="115" spans="1:36" ht="61.5" x14ac:dyDescent="0.85">
      <c r="A115" s="6">
        <v>1</v>
      </c>
      <c r="B115" s="66">
        <f>SUBTOTAL(103,$A$66:A115)</f>
        <v>45</v>
      </c>
      <c r="C115" s="131" t="s">
        <v>1489</v>
      </c>
      <c r="D115" s="89" t="s">
        <v>1439</v>
      </c>
      <c r="E115" s="69">
        <v>0.94930000000000003</v>
      </c>
      <c r="F115" s="31">
        <f t="shared" si="22"/>
        <v>48136.38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>
        <v>0</v>
      </c>
      <c r="M115" s="33">
        <v>0</v>
      </c>
      <c r="N115" s="31">
        <v>0</v>
      </c>
      <c r="O115" s="31">
        <v>649.79999999999995</v>
      </c>
      <c r="P115" s="31">
        <v>47425</v>
      </c>
      <c r="Q115" s="31">
        <v>0</v>
      </c>
      <c r="R115" s="31">
        <v>0</v>
      </c>
      <c r="S115" s="31">
        <v>0</v>
      </c>
      <c r="T115" s="31">
        <v>0</v>
      </c>
      <c r="U115" s="31">
        <v>0</v>
      </c>
      <c r="V115" s="31">
        <v>0</v>
      </c>
      <c r="W115" s="31">
        <v>0</v>
      </c>
      <c r="X115" s="31">
        <v>0</v>
      </c>
      <c r="Y115" s="31">
        <v>0</v>
      </c>
      <c r="Z115" s="31">
        <v>0</v>
      </c>
      <c r="AA115" s="31">
        <v>0</v>
      </c>
      <c r="AB115" s="31">
        <v>0</v>
      </c>
      <c r="AC115" s="31">
        <v>0</v>
      </c>
      <c r="AD115" s="31">
        <v>0</v>
      </c>
      <c r="AE115" s="31">
        <f>ROUND(P115*1.5%,2)</f>
        <v>711.38</v>
      </c>
      <c r="AF115" s="31">
        <v>0</v>
      </c>
      <c r="AG115" s="31">
        <v>0</v>
      </c>
      <c r="AH115" s="129" t="s">
        <v>274</v>
      </c>
      <c r="AI115" s="129">
        <v>2020</v>
      </c>
      <c r="AJ115" s="129">
        <v>2020</v>
      </c>
    </row>
    <row r="116" spans="1:36" ht="61.5" x14ac:dyDescent="0.85">
      <c r="A116" s="6">
        <v>1</v>
      </c>
      <c r="B116" s="66">
        <f>SUBTOTAL(103,$A$66:A116)</f>
        <v>46</v>
      </c>
      <c r="C116" s="131" t="s">
        <v>1490</v>
      </c>
      <c r="D116" s="89" t="s">
        <v>1067</v>
      </c>
      <c r="E116" s="69">
        <v>0.79333438101544396</v>
      </c>
      <c r="F116" s="31">
        <f t="shared" si="22"/>
        <v>1182149.27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  <c r="M116" s="33">
        <v>0</v>
      </c>
      <c r="N116" s="31">
        <v>0</v>
      </c>
      <c r="O116" s="31">
        <v>1265</v>
      </c>
      <c r="P116" s="31">
        <v>1164679.08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1">
        <v>0</v>
      </c>
      <c r="Y116" s="31">
        <v>0</v>
      </c>
      <c r="Z116" s="31">
        <v>0</v>
      </c>
      <c r="AA116" s="31">
        <v>0</v>
      </c>
      <c r="AB116" s="31">
        <v>0</v>
      </c>
      <c r="AC116" s="31">
        <v>0</v>
      </c>
      <c r="AD116" s="31">
        <v>0</v>
      </c>
      <c r="AE116" s="31">
        <f>ROUND(P116*1.5%,2)</f>
        <v>17470.189999999999</v>
      </c>
      <c r="AF116" s="31">
        <v>0</v>
      </c>
      <c r="AG116" s="31">
        <v>0</v>
      </c>
      <c r="AH116" s="129" t="s">
        <v>274</v>
      </c>
      <c r="AI116" s="129">
        <v>2020</v>
      </c>
      <c r="AJ116" s="129">
        <v>2020</v>
      </c>
    </row>
    <row r="117" spans="1:36" ht="61.5" x14ac:dyDescent="0.85">
      <c r="A117" s="6">
        <v>1</v>
      </c>
      <c r="B117" s="66">
        <f>SUBTOTAL(103,$A$66:A117)</f>
        <v>47</v>
      </c>
      <c r="C117" s="131" t="s">
        <v>1491</v>
      </c>
      <c r="D117" s="89" t="s">
        <v>1071</v>
      </c>
      <c r="E117" s="69">
        <v>0.91920000000000002</v>
      </c>
      <c r="F117" s="31">
        <f t="shared" si="22"/>
        <v>212532.16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  <c r="L117" s="31">
        <v>0</v>
      </c>
      <c r="M117" s="33">
        <v>0</v>
      </c>
      <c r="N117" s="31">
        <v>0</v>
      </c>
      <c r="O117" s="31">
        <v>1166</v>
      </c>
      <c r="P117" s="31">
        <v>209391.29</v>
      </c>
      <c r="Q117" s="31">
        <v>0</v>
      </c>
      <c r="R117" s="31">
        <v>0</v>
      </c>
      <c r="S117" s="31">
        <v>0</v>
      </c>
      <c r="T117" s="132">
        <v>0</v>
      </c>
      <c r="U117" s="31">
        <v>0</v>
      </c>
      <c r="V117" s="31">
        <v>0</v>
      </c>
      <c r="W117" s="31">
        <v>0</v>
      </c>
      <c r="X117" s="31">
        <v>0</v>
      </c>
      <c r="Y117" s="31">
        <v>0</v>
      </c>
      <c r="Z117" s="31">
        <v>0</v>
      </c>
      <c r="AA117" s="31">
        <v>0</v>
      </c>
      <c r="AB117" s="31">
        <v>0</v>
      </c>
      <c r="AC117" s="31">
        <v>0</v>
      </c>
      <c r="AD117" s="31">
        <v>0</v>
      </c>
      <c r="AE117" s="31">
        <f>ROUND(P117*1.5%,2)</f>
        <v>3140.87</v>
      </c>
      <c r="AF117" s="31">
        <v>0</v>
      </c>
      <c r="AG117" s="31">
        <v>0</v>
      </c>
      <c r="AH117" s="129" t="s">
        <v>274</v>
      </c>
      <c r="AI117" s="129">
        <v>2020</v>
      </c>
      <c r="AJ117" s="129">
        <v>2020</v>
      </c>
    </row>
    <row r="118" spans="1:36" ht="61.5" x14ac:dyDescent="0.85">
      <c r="A118" s="6">
        <v>1</v>
      </c>
      <c r="B118" s="66">
        <f>SUBTOTAL(103,$A$66:A118)</f>
        <v>48</v>
      </c>
      <c r="C118" s="131" t="s">
        <v>1492</v>
      </c>
      <c r="D118" s="89" t="s">
        <v>1067</v>
      </c>
      <c r="E118" s="69">
        <v>0.80210000000000004</v>
      </c>
      <c r="F118" s="31">
        <f t="shared" si="22"/>
        <v>69345.69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  <c r="M118" s="33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31">
        <v>276.85000000000002</v>
      </c>
      <c r="T118" s="31">
        <v>68320.88</v>
      </c>
      <c r="U118" s="31">
        <v>0</v>
      </c>
      <c r="V118" s="31">
        <v>0</v>
      </c>
      <c r="W118" s="31">
        <v>0</v>
      </c>
      <c r="X118" s="31">
        <v>0</v>
      </c>
      <c r="Y118" s="31">
        <v>0</v>
      </c>
      <c r="Z118" s="31">
        <v>0</v>
      </c>
      <c r="AA118" s="31">
        <v>0</v>
      </c>
      <c r="AB118" s="31">
        <v>0</v>
      </c>
      <c r="AC118" s="31">
        <v>0</v>
      </c>
      <c r="AD118" s="31">
        <v>0</v>
      </c>
      <c r="AE118" s="31">
        <f>ROUND(T118*1.5%,2)</f>
        <v>1024.81</v>
      </c>
      <c r="AF118" s="31">
        <v>0</v>
      </c>
      <c r="AG118" s="31">
        <v>0</v>
      </c>
      <c r="AH118" s="129" t="s">
        <v>274</v>
      </c>
      <c r="AI118" s="129">
        <v>2020</v>
      </c>
      <c r="AJ118" s="129">
        <v>2020</v>
      </c>
    </row>
    <row r="119" spans="1:36" ht="61.5" x14ac:dyDescent="0.85">
      <c r="A119" s="6">
        <v>1</v>
      </c>
      <c r="B119" s="66">
        <f>SUBTOTAL(103,$A$66:A119)</f>
        <v>49</v>
      </c>
      <c r="C119" s="131" t="s">
        <v>1493</v>
      </c>
      <c r="D119" s="89" t="s">
        <v>1071</v>
      </c>
      <c r="E119" s="69">
        <v>0.67430000000000001</v>
      </c>
      <c r="F119" s="31">
        <f t="shared" si="22"/>
        <v>8410.2900000000009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  <c r="M119" s="33">
        <v>0</v>
      </c>
      <c r="N119" s="31">
        <v>0</v>
      </c>
      <c r="O119" s="31">
        <v>583</v>
      </c>
      <c r="P119" s="31">
        <v>8286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1">
        <v>0</v>
      </c>
      <c r="W119" s="31">
        <v>0</v>
      </c>
      <c r="X119" s="31">
        <v>0</v>
      </c>
      <c r="Y119" s="31">
        <v>0</v>
      </c>
      <c r="Z119" s="31">
        <v>0</v>
      </c>
      <c r="AA119" s="31">
        <v>0</v>
      </c>
      <c r="AB119" s="31">
        <v>0</v>
      </c>
      <c r="AC119" s="31">
        <v>0</v>
      </c>
      <c r="AD119" s="31">
        <v>0</v>
      </c>
      <c r="AE119" s="31">
        <f>ROUND(P119*1.5%,2)</f>
        <v>124.29</v>
      </c>
      <c r="AF119" s="31">
        <v>0</v>
      </c>
      <c r="AG119" s="31">
        <v>0</v>
      </c>
      <c r="AH119" s="129" t="s">
        <v>274</v>
      </c>
      <c r="AI119" s="129">
        <v>2020</v>
      </c>
      <c r="AJ119" s="129">
        <v>2020</v>
      </c>
    </row>
    <row r="120" spans="1:36" ht="61.5" x14ac:dyDescent="0.85">
      <c r="A120" s="6">
        <v>1</v>
      </c>
      <c r="B120" s="66">
        <f>SUBTOTAL(103,$A$66:A120)</f>
        <v>50</v>
      </c>
      <c r="C120" s="131" t="s">
        <v>1494</v>
      </c>
      <c r="D120" s="89" t="s">
        <v>1445</v>
      </c>
      <c r="E120" s="69">
        <v>0.90800000000000003</v>
      </c>
      <c r="F120" s="31">
        <f t="shared" si="22"/>
        <v>7622.65</v>
      </c>
      <c r="G120" s="31">
        <v>7510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3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1">
        <v>0</v>
      </c>
      <c r="W120" s="31">
        <v>0</v>
      </c>
      <c r="X120" s="31">
        <v>0</v>
      </c>
      <c r="Y120" s="31">
        <v>0</v>
      </c>
      <c r="Z120" s="31">
        <v>0</v>
      </c>
      <c r="AA120" s="31">
        <v>0</v>
      </c>
      <c r="AB120" s="31">
        <v>0</v>
      </c>
      <c r="AC120" s="31">
        <v>0</v>
      </c>
      <c r="AD120" s="31">
        <v>0</v>
      </c>
      <c r="AE120" s="31">
        <f>ROUND(G120*1.5%,2)</f>
        <v>112.65</v>
      </c>
      <c r="AF120" s="31">
        <v>0</v>
      </c>
      <c r="AG120" s="31">
        <v>0</v>
      </c>
      <c r="AH120" s="129" t="s">
        <v>274</v>
      </c>
      <c r="AI120" s="129">
        <v>2020</v>
      </c>
      <c r="AJ120" s="129">
        <v>2020</v>
      </c>
    </row>
    <row r="121" spans="1:36" ht="61.5" x14ac:dyDescent="0.85">
      <c r="A121" s="6">
        <v>1</v>
      </c>
      <c r="B121" s="66">
        <f>SUBTOTAL(103,$A$66:A121)</f>
        <v>51</v>
      </c>
      <c r="C121" s="131" t="s">
        <v>1495</v>
      </c>
      <c r="D121" s="89" t="s">
        <v>1068</v>
      </c>
      <c r="E121" s="69">
        <v>0.98829999999999996</v>
      </c>
      <c r="F121" s="31">
        <f t="shared" si="22"/>
        <v>52780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3">
        <v>0</v>
      </c>
      <c r="N121" s="31">
        <v>0</v>
      </c>
      <c r="O121" s="31">
        <v>284.39999999999998</v>
      </c>
      <c r="P121" s="31">
        <v>52000</v>
      </c>
      <c r="Q121" s="31">
        <v>0</v>
      </c>
      <c r="R121" s="31">
        <v>0</v>
      </c>
      <c r="S121" s="31">
        <v>0</v>
      </c>
      <c r="T121" s="31">
        <v>0</v>
      </c>
      <c r="U121" s="31">
        <v>0</v>
      </c>
      <c r="V121" s="31">
        <v>0</v>
      </c>
      <c r="W121" s="31">
        <v>0</v>
      </c>
      <c r="X121" s="31">
        <v>0</v>
      </c>
      <c r="Y121" s="31">
        <v>0</v>
      </c>
      <c r="Z121" s="31">
        <v>0</v>
      </c>
      <c r="AA121" s="31">
        <v>0</v>
      </c>
      <c r="AB121" s="31">
        <v>0</v>
      </c>
      <c r="AC121" s="31">
        <v>0</v>
      </c>
      <c r="AD121" s="31">
        <v>0</v>
      </c>
      <c r="AE121" s="31">
        <f>ROUND(P121*1.5%,2)</f>
        <v>780</v>
      </c>
      <c r="AF121" s="31">
        <v>0</v>
      </c>
      <c r="AG121" s="31">
        <v>0</v>
      </c>
      <c r="AH121" s="129" t="s">
        <v>274</v>
      </c>
      <c r="AI121" s="129">
        <v>2020</v>
      </c>
      <c r="AJ121" s="129">
        <v>2020</v>
      </c>
    </row>
    <row r="122" spans="1:36" ht="61.5" x14ac:dyDescent="0.85">
      <c r="A122" s="6">
        <v>1</v>
      </c>
      <c r="B122" s="66">
        <f>SUBTOTAL(103,$A$66:A122)</f>
        <v>52</v>
      </c>
      <c r="C122" s="131" t="s">
        <v>1496</v>
      </c>
      <c r="D122" s="89" t="s">
        <v>1067</v>
      </c>
      <c r="E122" s="69">
        <v>0.86109999999999998</v>
      </c>
      <c r="F122" s="31">
        <f t="shared" si="22"/>
        <v>209078.37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3">
        <v>0</v>
      </c>
      <c r="N122" s="31">
        <v>0</v>
      </c>
      <c r="O122" s="31">
        <v>1539</v>
      </c>
      <c r="P122" s="31">
        <v>205988.54</v>
      </c>
      <c r="Q122" s="31">
        <v>0</v>
      </c>
      <c r="R122" s="31">
        <v>0</v>
      </c>
      <c r="S122" s="31">
        <v>0</v>
      </c>
      <c r="T122" s="132">
        <v>0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f>ROUND(P122*1.5%,2)</f>
        <v>3089.83</v>
      </c>
      <c r="AF122" s="31">
        <v>0</v>
      </c>
      <c r="AG122" s="31">
        <v>0</v>
      </c>
      <c r="AH122" s="129" t="s">
        <v>274</v>
      </c>
      <c r="AI122" s="129">
        <v>2020</v>
      </c>
      <c r="AJ122" s="129">
        <v>2020</v>
      </c>
    </row>
    <row r="123" spans="1:36" ht="61.5" x14ac:dyDescent="0.85">
      <c r="A123" s="6">
        <v>1</v>
      </c>
      <c r="B123" s="66">
        <f>SUBTOTAL(103,$A$66:A123)</f>
        <v>53</v>
      </c>
      <c r="C123" s="131" t="s">
        <v>1497</v>
      </c>
      <c r="D123" s="89" t="s">
        <v>1439</v>
      </c>
      <c r="E123" s="69">
        <v>0.85870000000000002</v>
      </c>
      <c r="F123" s="31">
        <f t="shared" si="22"/>
        <v>793266.22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3">
        <v>0</v>
      </c>
      <c r="N123" s="31">
        <v>0</v>
      </c>
      <c r="O123" s="31">
        <v>748</v>
      </c>
      <c r="P123" s="31">
        <v>781543.07</v>
      </c>
      <c r="Q123" s="31">
        <v>0</v>
      </c>
      <c r="R123" s="31">
        <v>0</v>
      </c>
      <c r="S123" s="31">
        <v>0</v>
      </c>
      <c r="T123" s="132">
        <v>0</v>
      </c>
      <c r="U123" s="31">
        <v>0</v>
      </c>
      <c r="V123" s="31">
        <v>0</v>
      </c>
      <c r="W123" s="31">
        <v>0</v>
      </c>
      <c r="X123" s="31">
        <v>0</v>
      </c>
      <c r="Y123" s="31">
        <v>0</v>
      </c>
      <c r="Z123" s="31">
        <v>0</v>
      </c>
      <c r="AA123" s="31">
        <v>0</v>
      </c>
      <c r="AB123" s="31">
        <v>0</v>
      </c>
      <c r="AC123" s="31">
        <v>0</v>
      </c>
      <c r="AD123" s="31">
        <v>0</v>
      </c>
      <c r="AE123" s="31">
        <f>ROUND(P123*1.5%,2)</f>
        <v>11723.15</v>
      </c>
      <c r="AF123" s="31">
        <v>0</v>
      </c>
      <c r="AG123" s="31">
        <v>0</v>
      </c>
      <c r="AH123" s="129" t="s">
        <v>274</v>
      </c>
      <c r="AI123" s="129">
        <v>2020</v>
      </c>
      <c r="AJ123" s="129">
        <v>2020</v>
      </c>
    </row>
    <row r="124" spans="1:36" ht="61.5" x14ac:dyDescent="0.85">
      <c r="A124" s="6">
        <v>1</v>
      </c>
      <c r="B124" s="66">
        <f>SUBTOTAL(103,$A$66:A124)</f>
        <v>54</v>
      </c>
      <c r="C124" s="131" t="s">
        <v>1498</v>
      </c>
      <c r="D124" s="89" t="s">
        <v>1438</v>
      </c>
      <c r="E124" s="69">
        <v>0.9476</v>
      </c>
      <c r="F124" s="31">
        <f t="shared" si="22"/>
        <v>45260.939999999995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3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31">
        <v>174</v>
      </c>
      <c r="T124" s="132">
        <v>44592.06</v>
      </c>
      <c r="U124" s="31">
        <v>0</v>
      </c>
      <c r="V124" s="31">
        <v>0</v>
      </c>
      <c r="W124" s="31">
        <v>0</v>
      </c>
      <c r="X124" s="31">
        <v>0</v>
      </c>
      <c r="Y124" s="31">
        <v>0</v>
      </c>
      <c r="Z124" s="31">
        <v>0</v>
      </c>
      <c r="AA124" s="31">
        <v>0</v>
      </c>
      <c r="AB124" s="31">
        <v>0</v>
      </c>
      <c r="AC124" s="31">
        <v>0</v>
      </c>
      <c r="AD124" s="31">
        <v>0</v>
      </c>
      <c r="AE124" s="31">
        <f>ROUND(T124*1.5%,2)</f>
        <v>668.88</v>
      </c>
      <c r="AF124" s="31">
        <v>0</v>
      </c>
      <c r="AG124" s="31">
        <v>0</v>
      </c>
      <c r="AH124" s="129" t="s">
        <v>274</v>
      </c>
      <c r="AI124" s="129">
        <v>2020</v>
      </c>
      <c r="AJ124" s="129">
        <v>2020</v>
      </c>
    </row>
    <row r="125" spans="1:36" ht="61.5" x14ac:dyDescent="0.85">
      <c r="A125" s="6">
        <v>1</v>
      </c>
      <c r="B125" s="66">
        <f>SUBTOTAL(103,$A$66:A125)</f>
        <v>55</v>
      </c>
      <c r="C125" s="131" t="s">
        <v>1499</v>
      </c>
      <c r="D125" s="89" t="s">
        <v>1067</v>
      </c>
      <c r="E125" s="69">
        <v>0.94679999999999997</v>
      </c>
      <c r="F125" s="31">
        <f t="shared" si="22"/>
        <v>41021.47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3">
        <v>0</v>
      </c>
      <c r="N125" s="31">
        <v>0</v>
      </c>
      <c r="O125" s="31">
        <v>289.66000000000003</v>
      </c>
      <c r="P125" s="31">
        <v>40415.24</v>
      </c>
      <c r="Q125" s="31">
        <v>0</v>
      </c>
      <c r="R125" s="31">
        <v>0</v>
      </c>
      <c r="S125" s="31">
        <v>0</v>
      </c>
      <c r="T125" s="132">
        <v>0</v>
      </c>
      <c r="U125" s="31">
        <v>0</v>
      </c>
      <c r="V125" s="31">
        <v>0</v>
      </c>
      <c r="W125" s="31">
        <v>0</v>
      </c>
      <c r="X125" s="31">
        <v>0</v>
      </c>
      <c r="Y125" s="31">
        <v>0</v>
      </c>
      <c r="Z125" s="31">
        <v>0</v>
      </c>
      <c r="AA125" s="31">
        <v>0</v>
      </c>
      <c r="AB125" s="31">
        <v>0</v>
      </c>
      <c r="AC125" s="31">
        <v>0</v>
      </c>
      <c r="AD125" s="31">
        <v>0</v>
      </c>
      <c r="AE125" s="31">
        <f>ROUND(P125*1.5%,2)</f>
        <v>606.23</v>
      </c>
      <c r="AF125" s="31">
        <v>0</v>
      </c>
      <c r="AG125" s="31">
        <v>0</v>
      </c>
      <c r="AH125" s="129" t="s">
        <v>274</v>
      </c>
      <c r="AI125" s="129">
        <v>2020</v>
      </c>
      <c r="AJ125" s="129">
        <v>2020</v>
      </c>
    </row>
    <row r="126" spans="1:36" ht="61.5" x14ac:dyDescent="0.85">
      <c r="A126" s="6">
        <v>1</v>
      </c>
      <c r="B126" s="66">
        <f>SUBTOTAL(103,$A$66:A126)</f>
        <v>56</v>
      </c>
      <c r="C126" s="131" t="s">
        <v>1500</v>
      </c>
      <c r="D126" s="89" t="s">
        <v>1067</v>
      </c>
      <c r="E126" s="69">
        <v>0.92569999999999997</v>
      </c>
      <c r="F126" s="31">
        <f t="shared" si="22"/>
        <v>504846.64999999997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3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31">
        <v>3007.6</v>
      </c>
      <c r="T126" s="132">
        <v>497385.86</v>
      </c>
      <c r="U126" s="31">
        <v>0</v>
      </c>
      <c r="V126" s="31">
        <v>0</v>
      </c>
      <c r="W126" s="31">
        <v>0</v>
      </c>
      <c r="X126" s="31">
        <v>0</v>
      </c>
      <c r="Y126" s="31">
        <v>0</v>
      </c>
      <c r="Z126" s="31">
        <v>0</v>
      </c>
      <c r="AA126" s="31">
        <v>0</v>
      </c>
      <c r="AB126" s="31">
        <v>0</v>
      </c>
      <c r="AC126" s="31">
        <v>0</v>
      </c>
      <c r="AD126" s="31">
        <v>0</v>
      </c>
      <c r="AE126" s="31">
        <f>ROUND(T126*1.5%,2)</f>
        <v>7460.79</v>
      </c>
      <c r="AF126" s="31">
        <v>0</v>
      </c>
      <c r="AG126" s="31">
        <v>0</v>
      </c>
      <c r="AH126" s="129" t="s">
        <v>274</v>
      </c>
      <c r="AI126" s="129">
        <v>2020</v>
      </c>
      <c r="AJ126" s="129">
        <v>2020</v>
      </c>
    </row>
    <row r="127" spans="1:36" ht="61.5" x14ac:dyDescent="0.85">
      <c r="A127" s="6">
        <v>1</v>
      </c>
      <c r="B127" s="66">
        <f>SUBTOTAL(103,$A$66:A127)</f>
        <v>57</v>
      </c>
      <c r="C127" s="131" t="s">
        <v>1501</v>
      </c>
      <c r="D127" s="89" t="s">
        <v>1067</v>
      </c>
      <c r="E127" s="69">
        <v>0.70989999999999998</v>
      </c>
      <c r="F127" s="31">
        <f t="shared" si="22"/>
        <v>545501.27</v>
      </c>
      <c r="G127" s="31">
        <v>0</v>
      </c>
      <c r="H127" s="31">
        <v>0</v>
      </c>
      <c r="I127" s="31">
        <v>537439.67000000004</v>
      </c>
      <c r="J127" s="31">
        <v>0</v>
      </c>
      <c r="K127" s="31">
        <v>0</v>
      </c>
      <c r="L127" s="31">
        <v>0</v>
      </c>
      <c r="M127" s="33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31">
        <v>0</v>
      </c>
      <c r="T127" s="132">
        <v>0</v>
      </c>
      <c r="U127" s="31">
        <v>0</v>
      </c>
      <c r="V127" s="31">
        <v>0</v>
      </c>
      <c r="W127" s="31">
        <v>0</v>
      </c>
      <c r="X127" s="31">
        <v>0</v>
      </c>
      <c r="Y127" s="31">
        <v>0</v>
      </c>
      <c r="Z127" s="31">
        <v>0</v>
      </c>
      <c r="AA127" s="31">
        <v>0</v>
      </c>
      <c r="AB127" s="31">
        <v>0</v>
      </c>
      <c r="AC127" s="31">
        <v>0</v>
      </c>
      <c r="AD127" s="31">
        <v>0</v>
      </c>
      <c r="AE127" s="31">
        <f>ROUND(I127*1.5%,2)</f>
        <v>8061.6</v>
      </c>
      <c r="AF127" s="31">
        <v>0</v>
      </c>
      <c r="AG127" s="31">
        <v>0</v>
      </c>
      <c r="AH127" s="129" t="s">
        <v>274</v>
      </c>
      <c r="AI127" s="129">
        <v>2020</v>
      </c>
      <c r="AJ127" s="129">
        <v>2020</v>
      </c>
    </row>
    <row r="128" spans="1:36" ht="61.5" x14ac:dyDescent="0.85">
      <c r="A128" s="6">
        <v>1</v>
      </c>
      <c r="B128" s="66">
        <f>SUBTOTAL(103,$A$66:A128)</f>
        <v>58</v>
      </c>
      <c r="C128" s="131" t="s">
        <v>1544</v>
      </c>
      <c r="D128" s="89" t="s">
        <v>1072</v>
      </c>
      <c r="E128" s="69">
        <v>0.80649999999999999</v>
      </c>
      <c r="F128" s="31">
        <f t="shared" si="22"/>
        <v>52491.74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3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31">
        <v>1676</v>
      </c>
      <c r="T128" s="132">
        <v>51716</v>
      </c>
      <c r="U128" s="31">
        <v>0</v>
      </c>
      <c r="V128" s="31">
        <v>0</v>
      </c>
      <c r="W128" s="31">
        <v>0</v>
      </c>
      <c r="X128" s="31">
        <v>0</v>
      </c>
      <c r="Y128" s="31">
        <v>0</v>
      </c>
      <c r="Z128" s="31">
        <v>0</v>
      </c>
      <c r="AA128" s="31">
        <v>0</v>
      </c>
      <c r="AB128" s="31">
        <v>0</v>
      </c>
      <c r="AC128" s="31">
        <v>0</v>
      </c>
      <c r="AD128" s="31">
        <v>0</v>
      </c>
      <c r="AE128" s="31">
        <f>ROUND(T128*1.5%,2)</f>
        <v>775.74</v>
      </c>
      <c r="AF128" s="31">
        <v>0</v>
      </c>
      <c r="AG128" s="31">
        <v>0</v>
      </c>
      <c r="AH128" s="129" t="s">
        <v>274</v>
      </c>
      <c r="AI128" s="129">
        <v>2020</v>
      </c>
      <c r="AJ128" s="129">
        <v>2020</v>
      </c>
    </row>
    <row r="129" spans="1:36" ht="61.5" x14ac:dyDescent="0.85">
      <c r="A129" s="6">
        <v>1</v>
      </c>
      <c r="B129" s="66">
        <f>SUBTOTAL(103,$A$66:A129)</f>
        <v>59</v>
      </c>
      <c r="C129" s="131" t="s">
        <v>1545</v>
      </c>
      <c r="D129" s="89" t="s">
        <v>1439</v>
      </c>
      <c r="E129" s="69">
        <v>0.79520000000000002</v>
      </c>
      <c r="F129" s="31">
        <f t="shared" si="22"/>
        <v>81764.34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3">
        <v>0</v>
      </c>
      <c r="N129" s="31">
        <v>0</v>
      </c>
      <c r="O129" s="31">
        <v>352</v>
      </c>
      <c r="P129" s="31">
        <v>80556</v>
      </c>
      <c r="Q129" s="31">
        <v>0</v>
      </c>
      <c r="R129" s="31">
        <v>0</v>
      </c>
      <c r="S129" s="31">
        <v>0</v>
      </c>
      <c r="T129" s="132">
        <v>0</v>
      </c>
      <c r="U129" s="31">
        <v>0</v>
      </c>
      <c r="V129" s="31">
        <v>0</v>
      </c>
      <c r="W129" s="31">
        <v>0</v>
      </c>
      <c r="X129" s="31">
        <v>0</v>
      </c>
      <c r="Y129" s="31">
        <v>0</v>
      </c>
      <c r="Z129" s="31">
        <v>0</v>
      </c>
      <c r="AA129" s="31">
        <v>0</v>
      </c>
      <c r="AB129" s="31">
        <v>0</v>
      </c>
      <c r="AC129" s="31">
        <v>0</v>
      </c>
      <c r="AD129" s="31">
        <v>0</v>
      </c>
      <c r="AE129" s="31">
        <f>ROUND(P129*1.5%,2)</f>
        <v>1208.3399999999999</v>
      </c>
      <c r="AF129" s="31">
        <v>0</v>
      </c>
      <c r="AG129" s="31">
        <v>0</v>
      </c>
      <c r="AH129" s="129" t="s">
        <v>274</v>
      </c>
      <c r="AI129" s="129">
        <v>2020</v>
      </c>
      <c r="AJ129" s="129">
        <v>2020</v>
      </c>
    </row>
    <row r="130" spans="1:36" ht="61.5" x14ac:dyDescent="0.85">
      <c r="A130" s="6">
        <v>1</v>
      </c>
      <c r="B130" s="66">
        <f>SUBTOTAL(103,$A$66:A130)</f>
        <v>60</v>
      </c>
      <c r="C130" s="131" t="s">
        <v>1546</v>
      </c>
      <c r="D130" s="89" t="s">
        <v>1067</v>
      </c>
      <c r="E130" s="69">
        <v>0.76160000000000005</v>
      </c>
      <c r="F130" s="31">
        <f t="shared" si="22"/>
        <v>7612.5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3">
        <v>0</v>
      </c>
      <c r="N130" s="31">
        <v>0</v>
      </c>
      <c r="O130" s="31">
        <v>910</v>
      </c>
      <c r="P130" s="31">
        <v>7500</v>
      </c>
      <c r="Q130" s="31">
        <v>0</v>
      </c>
      <c r="R130" s="31">
        <v>0</v>
      </c>
      <c r="S130" s="31">
        <v>0</v>
      </c>
      <c r="T130" s="132">
        <v>0</v>
      </c>
      <c r="U130" s="31">
        <v>0</v>
      </c>
      <c r="V130" s="31">
        <v>0</v>
      </c>
      <c r="W130" s="31">
        <v>0</v>
      </c>
      <c r="X130" s="31">
        <v>0</v>
      </c>
      <c r="Y130" s="31">
        <v>0</v>
      </c>
      <c r="Z130" s="31">
        <v>0</v>
      </c>
      <c r="AA130" s="31">
        <v>0</v>
      </c>
      <c r="AB130" s="31">
        <v>0</v>
      </c>
      <c r="AC130" s="31">
        <v>0</v>
      </c>
      <c r="AD130" s="31">
        <v>0</v>
      </c>
      <c r="AE130" s="31">
        <f>ROUND(P130*1.5%,2)</f>
        <v>112.5</v>
      </c>
      <c r="AF130" s="31">
        <v>0</v>
      </c>
      <c r="AG130" s="31">
        <v>0</v>
      </c>
      <c r="AH130" s="129" t="s">
        <v>274</v>
      </c>
      <c r="AI130" s="129">
        <v>2020</v>
      </c>
      <c r="AJ130" s="129">
        <v>2020</v>
      </c>
    </row>
    <row r="131" spans="1:36" ht="62.25" x14ac:dyDescent="0.9">
      <c r="B131" s="175" t="s">
        <v>1446</v>
      </c>
      <c r="C131" s="176"/>
      <c r="D131" s="130" t="s">
        <v>916</v>
      </c>
      <c r="E131" s="69">
        <f>AVERAGE(E132:E144)</f>
        <v>0.90999367877984549</v>
      </c>
      <c r="F131" s="31">
        <f>SUM(F132:F144)</f>
        <v>6084746.6499999994</v>
      </c>
      <c r="G131" s="31">
        <f t="shared" ref="G131:AG131" si="31">SUM(G132:G144)</f>
        <v>0</v>
      </c>
      <c r="H131" s="31">
        <f t="shared" si="31"/>
        <v>0</v>
      </c>
      <c r="I131" s="31">
        <f t="shared" si="31"/>
        <v>0</v>
      </c>
      <c r="J131" s="31">
        <f t="shared" si="31"/>
        <v>0</v>
      </c>
      <c r="K131" s="31">
        <f t="shared" si="31"/>
        <v>0</v>
      </c>
      <c r="L131" s="31">
        <f t="shared" si="31"/>
        <v>0</v>
      </c>
      <c r="M131" s="33">
        <f t="shared" si="31"/>
        <v>0</v>
      </c>
      <c r="N131" s="31">
        <f t="shared" si="31"/>
        <v>0</v>
      </c>
      <c r="O131" s="31">
        <f t="shared" si="31"/>
        <v>12302</v>
      </c>
      <c r="P131" s="31">
        <f t="shared" si="31"/>
        <v>5909817.25</v>
      </c>
      <c r="Q131" s="31">
        <f t="shared" si="31"/>
        <v>0</v>
      </c>
      <c r="R131" s="31">
        <f t="shared" si="31"/>
        <v>0</v>
      </c>
      <c r="S131" s="31">
        <f t="shared" si="31"/>
        <v>0</v>
      </c>
      <c r="T131" s="31">
        <f t="shared" si="31"/>
        <v>0</v>
      </c>
      <c r="U131" s="31">
        <f t="shared" si="31"/>
        <v>0</v>
      </c>
      <c r="V131" s="31">
        <f t="shared" si="31"/>
        <v>0</v>
      </c>
      <c r="W131" s="31">
        <f t="shared" si="31"/>
        <v>0</v>
      </c>
      <c r="X131" s="31">
        <f t="shared" si="31"/>
        <v>85007</v>
      </c>
      <c r="Y131" s="31">
        <f t="shared" si="31"/>
        <v>0</v>
      </c>
      <c r="Z131" s="31">
        <f t="shared" si="31"/>
        <v>0</v>
      </c>
      <c r="AA131" s="31">
        <f t="shared" si="31"/>
        <v>0</v>
      </c>
      <c r="AB131" s="31">
        <f t="shared" si="31"/>
        <v>0</v>
      </c>
      <c r="AC131" s="31">
        <f t="shared" si="31"/>
        <v>0</v>
      </c>
      <c r="AD131" s="31">
        <f t="shared" si="31"/>
        <v>0</v>
      </c>
      <c r="AE131" s="31">
        <f t="shared" si="31"/>
        <v>89922.4</v>
      </c>
      <c r="AF131" s="31">
        <f t="shared" si="31"/>
        <v>0</v>
      </c>
      <c r="AG131" s="31">
        <f t="shared" si="31"/>
        <v>0</v>
      </c>
      <c r="AH131" s="129" t="s">
        <v>916</v>
      </c>
      <c r="AI131" s="129" t="s">
        <v>916</v>
      </c>
      <c r="AJ131" s="129" t="s">
        <v>916</v>
      </c>
    </row>
    <row r="132" spans="1:36" ht="61.5" x14ac:dyDescent="0.85">
      <c r="A132" s="6">
        <v>1</v>
      </c>
      <c r="B132" s="66">
        <f>SUBTOTAL(103,$A$66:A132)</f>
        <v>61</v>
      </c>
      <c r="C132" s="131" t="s">
        <v>1502</v>
      </c>
      <c r="D132" s="89" t="s">
        <v>1441</v>
      </c>
      <c r="E132" s="69">
        <v>0.95770131483230581</v>
      </c>
      <c r="F132" s="31">
        <f t="shared" si="22"/>
        <v>1877040.31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3">
        <v>0</v>
      </c>
      <c r="N132" s="31">
        <v>0</v>
      </c>
      <c r="O132" s="31">
        <v>2039</v>
      </c>
      <c r="P132" s="31">
        <v>1849300.8</v>
      </c>
      <c r="Q132" s="31">
        <v>0</v>
      </c>
      <c r="R132" s="31">
        <v>0</v>
      </c>
      <c r="S132" s="31">
        <v>0</v>
      </c>
      <c r="T132" s="132">
        <v>0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f>ROUND(P132*1.5%,2)</f>
        <v>27739.51</v>
      </c>
      <c r="AF132" s="31">
        <v>0</v>
      </c>
      <c r="AG132" s="31">
        <v>0</v>
      </c>
      <c r="AH132" s="129" t="s">
        <v>274</v>
      </c>
      <c r="AI132" s="129">
        <v>2020</v>
      </c>
      <c r="AJ132" s="129">
        <v>2020</v>
      </c>
    </row>
    <row r="133" spans="1:36" ht="61.5" x14ac:dyDescent="0.85">
      <c r="A133" s="6">
        <v>1</v>
      </c>
      <c r="B133" s="66">
        <f>SUBTOTAL(103,$A$66:A133)</f>
        <v>62</v>
      </c>
      <c r="C133" s="131" t="s">
        <v>1503</v>
      </c>
      <c r="D133" s="89" t="s">
        <v>1439</v>
      </c>
      <c r="E133" s="69">
        <v>0.91669999999999996</v>
      </c>
      <c r="F133" s="31">
        <f t="shared" si="22"/>
        <v>293340.08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3">
        <v>0</v>
      </c>
      <c r="N133" s="31">
        <v>0</v>
      </c>
      <c r="O133" s="31">
        <v>1135</v>
      </c>
      <c r="P133" s="31">
        <v>289005</v>
      </c>
      <c r="Q133" s="31">
        <v>0</v>
      </c>
      <c r="R133" s="31">
        <v>0</v>
      </c>
      <c r="S133" s="31">
        <v>0</v>
      </c>
      <c r="T133" s="132">
        <v>0</v>
      </c>
      <c r="U133" s="31">
        <v>0</v>
      </c>
      <c r="V133" s="31">
        <v>0</v>
      </c>
      <c r="W133" s="31">
        <v>0</v>
      </c>
      <c r="X133" s="31">
        <v>0</v>
      </c>
      <c r="Y133" s="31">
        <v>0</v>
      </c>
      <c r="Z133" s="31">
        <v>0</v>
      </c>
      <c r="AA133" s="31">
        <v>0</v>
      </c>
      <c r="AB133" s="31">
        <v>0</v>
      </c>
      <c r="AC133" s="31">
        <v>0</v>
      </c>
      <c r="AD133" s="31">
        <v>0</v>
      </c>
      <c r="AE133" s="31">
        <f t="shared" ref="AE133:AE143" si="32">ROUND(P133*1.5%,2)</f>
        <v>4335.08</v>
      </c>
      <c r="AF133" s="31">
        <v>0</v>
      </c>
      <c r="AG133" s="31">
        <v>0</v>
      </c>
      <c r="AH133" s="129" t="s">
        <v>274</v>
      </c>
      <c r="AI133" s="129">
        <v>2020</v>
      </c>
      <c r="AJ133" s="129">
        <v>2020</v>
      </c>
    </row>
    <row r="134" spans="1:36" ht="61.5" x14ac:dyDescent="0.85">
      <c r="A134" s="6">
        <v>1</v>
      </c>
      <c r="B134" s="66">
        <f>SUBTOTAL(103,$A$66:A134)</f>
        <v>63</v>
      </c>
      <c r="C134" s="131" t="s">
        <v>1504</v>
      </c>
      <c r="D134" s="89" t="s">
        <v>1066</v>
      </c>
      <c r="E134" s="69">
        <v>0.98309999999999997</v>
      </c>
      <c r="F134" s="31">
        <f t="shared" si="22"/>
        <v>35169.75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3">
        <v>0</v>
      </c>
      <c r="N134" s="31">
        <v>0</v>
      </c>
      <c r="O134" s="31">
        <v>1845</v>
      </c>
      <c r="P134" s="31">
        <v>34650</v>
      </c>
      <c r="Q134" s="31">
        <v>0</v>
      </c>
      <c r="R134" s="31">
        <v>0</v>
      </c>
      <c r="S134" s="31">
        <v>0</v>
      </c>
      <c r="T134" s="132">
        <v>0</v>
      </c>
      <c r="U134" s="31">
        <v>0</v>
      </c>
      <c r="V134" s="31">
        <v>0</v>
      </c>
      <c r="W134" s="31">
        <v>0</v>
      </c>
      <c r="X134" s="31">
        <v>0</v>
      </c>
      <c r="Y134" s="31">
        <v>0</v>
      </c>
      <c r="Z134" s="31">
        <v>0</v>
      </c>
      <c r="AA134" s="31">
        <v>0</v>
      </c>
      <c r="AB134" s="31">
        <v>0</v>
      </c>
      <c r="AC134" s="31">
        <v>0</v>
      </c>
      <c r="AD134" s="31">
        <v>0</v>
      </c>
      <c r="AE134" s="31">
        <f t="shared" si="32"/>
        <v>519.75</v>
      </c>
      <c r="AF134" s="31">
        <v>0</v>
      </c>
      <c r="AG134" s="31">
        <v>0</v>
      </c>
      <c r="AH134" s="129" t="s">
        <v>274</v>
      </c>
      <c r="AI134" s="129">
        <v>2020</v>
      </c>
      <c r="AJ134" s="129">
        <v>2020</v>
      </c>
    </row>
    <row r="135" spans="1:36" ht="61.5" x14ac:dyDescent="0.85">
      <c r="A135" s="6">
        <v>1</v>
      </c>
      <c r="B135" s="66">
        <f>SUBTOTAL(103,$A$66:A135)</f>
        <v>64</v>
      </c>
      <c r="C135" s="131" t="s">
        <v>1505</v>
      </c>
      <c r="D135" s="89" t="s">
        <v>1068</v>
      </c>
      <c r="E135" s="69">
        <v>0.9163</v>
      </c>
      <c r="F135" s="31">
        <f t="shared" si="22"/>
        <v>104524.7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3">
        <v>0</v>
      </c>
      <c r="N135" s="31">
        <v>0</v>
      </c>
      <c r="O135" s="31">
        <v>736</v>
      </c>
      <c r="P135" s="31">
        <v>102980</v>
      </c>
      <c r="Q135" s="31">
        <v>0</v>
      </c>
      <c r="R135" s="31">
        <v>0</v>
      </c>
      <c r="S135" s="31">
        <v>0</v>
      </c>
      <c r="T135" s="132">
        <v>0</v>
      </c>
      <c r="U135" s="31">
        <v>0</v>
      </c>
      <c r="V135" s="31">
        <v>0</v>
      </c>
      <c r="W135" s="31">
        <v>0</v>
      </c>
      <c r="X135" s="31">
        <v>0</v>
      </c>
      <c r="Y135" s="31">
        <v>0</v>
      </c>
      <c r="Z135" s="31">
        <v>0</v>
      </c>
      <c r="AA135" s="31">
        <v>0</v>
      </c>
      <c r="AB135" s="31">
        <v>0</v>
      </c>
      <c r="AC135" s="31">
        <v>0</v>
      </c>
      <c r="AD135" s="31">
        <v>0</v>
      </c>
      <c r="AE135" s="31">
        <f t="shared" si="32"/>
        <v>1544.7</v>
      </c>
      <c r="AF135" s="31">
        <v>0</v>
      </c>
      <c r="AG135" s="31">
        <v>0</v>
      </c>
      <c r="AH135" s="129" t="s">
        <v>274</v>
      </c>
      <c r="AI135" s="129">
        <v>2020</v>
      </c>
      <c r="AJ135" s="129">
        <v>2020</v>
      </c>
    </row>
    <row r="136" spans="1:36" ht="61.5" x14ac:dyDescent="0.85">
      <c r="A136" s="6">
        <v>1</v>
      </c>
      <c r="B136" s="66">
        <f>SUBTOTAL(103,$A$66:A136)</f>
        <v>65</v>
      </c>
      <c r="C136" s="131" t="s">
        <v>1506</v>
      </c>
      <c r="D136" s="89" t="s">
        <v>1068</v>
      </c>
      <c r="E136" s="69">
        <v>0.88370000000000004</v>
      </c>
      <c r="F136" s="31">
        <f t="shared" si="22"/>
        <v>123830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3">
        <v>0</v>
      </c>
      <c r="N136" s="31">
        <v>0</v>
      </c>
      <c r="O136" s="31">
        <v>518</v>
      </c>
      <c r="P136" s="31">
        <v>122000</v>
      </c>
      <c r="Q136" s="31">
        <v>0</v>
      </c>
      <c r="R136" s="31">
        <v>0</v>
      </c>
      <c r="S136" s="31">
        <v>0</v>
      </c>
      <c r="T136" s="132">
        <v>0</v>
      </c>
      <c r="U136" s="31">
        <v>0</v>
      </c>
      <c r="V136" s="31">
        <v>0</v>
      </c>
      <c r="W136" s="31">
        <v>0</v>
      </c>
      <c r="X136" s="31">
        <v>0</v>
      </c>
      <c r="Y136" s="31">
        <v>0</v>
      </c>
      <c r="Z136" s="31">
        <v>0</v>
      </c>
      <c r="AA136" s="31">
        <v>0</v>
      </c>
      <c r="AB136" s="31">
        <v>0</v>
      </c>
      <c r="AC136" s="31">
        <v>0</v>
      </c>
      <c r="AD136" s="31">
        <v>0</v>
      </c>
      <c r="AE136" s="31">
        <f t="shared" si="32"/>
        <v>1830</v>
      </c>
      <c r="AF136" s="31">
        <v>0</v>
      </c>
      <c r="AG136" s="31">
        <v>0</v>
      </c>
      <c r="AH136" s="129" t="s">
        <v>274</v>
      </c>
      <c r="AI136" s="129">
        <v>2020</v>
      </c>
      <c r="AJ136" s="129">
        <v>2020</v>
      </c>
    </row>
    <row r="137" spans="1:36" ht="61.5" x14ac:dyDescent="0.85">
      <c r="A137" s="6">
        <v>1</v>
      </c>
      <c r="B137" s="66">
        <f>SUBTOTAL(103,$A$66:A137)</f>
        <v>66</v>
      </c>
      <c r="C137" s="131" t="s">
        <v>1507</v>
      </c>
      <c r="D137" s="89" t="s">
        <v>1068</v>
      </c>
      <c r="E137" s="69">
        <v>1.000675491846317</v>
      </c>
      <c r="F137" s="31">
        <f t="shared" si="22"/>
        <v>1697748.89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3">
        <v>0</v>
      </c>
      <c r="N137" s="31">
        <v>0</v>
      </c>
      <c r="O137" s="31">
        <v>1238</v>
      </c>
      <c r="P137" s="31">
        <v>1672659</v>
      </c>
      <c r="Q137" s="31">
        <v>0</v>
      </c>
      <c r="R137" s="31">
        <v>0</v>
      </c>
      <c r="S137" s="31">
        <v>0</v>
      </c>
      <c r="T137" s="132">
        <v>0</v>
      </c>
      <c r="U137" s="31">
        <v>0</v>
      </c>
      <c r="V137" s="31">
        <v>0</v>
      </c>
      <c r="W137" s="31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v>0</v>
      </c>
      <c r="AD137" s="31">
        <v>0</v>
      </c>
      <c r="AE137" s="31">
        <f t="shared" si="32"/>
        <v>25089.89</v>
      </c>
      <c r="AF137" s="31">
        <v>0</v>
      </c>
      <c r="AG137" s="31">
        <v>0</v>
      </c>
      <c r="AH137" s="129" t="s">
        <v>274</v>
      </c>
      <c r="AI137" s="129">
        <v>2020</v>
      </c>
      <c r="AJ137" s="129">
        <v>2020</v>
      </c>
    </row>
    <row r="138" spans="1:36" ht="61.5" x14ac:dyDescent="0.85">
      <c r="A138" s="6">
        <v>1</v>
      </c>
      <c r="B138" s="66">
        <f>SUBTOTAL(103,$A$66:A138)</f>
        <v>67</v>
      </c>
      <c r="C138" s="131" t="s">
        <v>1508</v>
      </c>
      <c r="D138" s="89" t="s">
        <v>1066</v>
      </c>
      <c r="E138" s="69">
        <v>0.80026822300653366</v>
      </c>
      <c r="F138" s="31">
        <f t="shared" si="22"/>
        <v>184374.75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3">
        <v>0</v>
      </c>
      <c r="N138" s="31">
        <v>0</v>
      </c>
      <c r="O138" s="31">
        <v>668</v>
      </c>
      <c r="P138" s="31">
        <v>181650</v>
      </c>
      <c r="Q138" s="31">
        <v>0</v>
      </c>
      <c r="R138" s="31">
        <v>0</v>
      </c>
      <c r="S138" s="31">
        <v>0</v>
      </c>
      <c r="T138" s="132">
        <v>0</v>
      </c>
      <c r="U138" s="31">
        <v>0</v>
      </c>
      <c r="V138" s="31">
        <v>0</v>
      </c>
      <c r="W138" s="31">
        <v>0</v>
      </c>
      <c r="X138" s="31">
        <v>0</v>
      </c>
      <c r="Y138" s="31">
        <v>0</v>
      </c>
      <c r="Z138" s="31">
        <v>0</v>
      </c>
      <c r="AA138" s="31">
        <v>0</v>
      </c>
      <c r="AB138" s="31">
        <v>0</v>
      </c>
      <c r="AC138" s="31">
        <v>0</v>
      </c>
      <c r="AD138" s="31">
        <v>0</v>
      </c>
      <c r="AE138" s="31">
        <f t="shared" si="32"/>
        <v>2724.75</v>
      </c>
      <c r="AF138" s="31">
        <v>0</v>
      </c>
      <c r="AG138" s="31">
        <v>0</v>
      </c>
      <c r="AH138" s="129" t="s">
        <v>274</v>
      </c>
      <c r="AI138" s="129">
        <v>2020</v>
      </c>
      <c r="AJ138" s="129">
        <v>2020</v>
      </c>
    </row>
    <row r="139" spans="1:36" ht="61.5" x14ac:dyDescent="0.85">
      <c r="A139" s="6">
        <v>1</v>
      </c>
      <c r="B139" s="66">
        <f>SUBTOTAL(103,$A$66:A139)</f>
        <v>68</v>
      </c>
      <c r="C139" s="131" t="s">
        <v>1509</v>
      </c>
      <c r="D139" s="89" t="s">
        <v>1066</v>
      </c>
      <c r="E139" s="69">
        <v>0.92587279445283599</v>
      </c>
      <c r="F139" s="31">
        <f t="shared" si="22"/>
        <v>37984.35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3">
        <v>0</v>
      </c>
      <c r="N139" s="31">
        <v>0</v>
      </c>
      <c r="O139" s="31">
        <v>559</v>
      </c>
      <c r="P139" s="31">
        <v>37423</v>
      </c>
      <c r="Q139" s="31">
        <v>0</v>
      </c>
      <c r="R139" s="31">
        <v>0</v>
      </c>
      <c r="S139" s="31">
        <v>0</v>
      </c>
      <c r="T139" s="132">
        <v>0</v>
      </c>
      <c r="U139" s="31">
        <v>0</v>
      </c>
      <c r="V139" s="31">
        <v>0</v>
      </c>
      <c r="W139" s="31">
        <v>0</v>
      </c>
      <c r="X139" s="31">
        <v>0</v>
      </c>
      <c r="Y139" s="31">
        <v>0</v>
      </c>
      <c r="Z139" s="31">
        <v>0</v>
      </c>
      <c r="AA139" s="31">
        <v>0</v>
      </c>
      <c r="AB139" s="31">
        <v>0</v>
      </c>
      <c r="AC139" s="31">
        <v>0</v>
      </c>
      <c r="AD139" s="31">
        <v>0</v>
      </c>
      <c r="AE139" s="31">
        <f t="shared" si="32"/>
        <v>561.35</v>
      </c>
      <c r="AF139" s="31">
        <v>0</v>
      </c>
      <c r="AG139" s="31">
        <v>0</v>
      </c>
      <c r="AH139" s="129" t="s">
        <v>274</v>
      </c>
      <c r="AI139" s="129">
        <v>2020</v>
      </c>
      <c r="AJ139" s="129">
        <v>2020</v>
      </c>
    </row>
    <row r="140" spans="1:36" ht="61.5" x14ac:dyDescent="0.85">
      <c r="A140" s="6">
        <v>1</v>
      </c>
      <c r="B140" s="66">
        <f>SUBTOTAL(103,$A$66:A140)</f>
        <v>69</v>
      </c>
      <c r="C140" s="131" t="s">
        <v>1510</v>
      </c>
      <c r="D140" s="89" t="s">
        <v>1447</v>
      </c>
      <c r="E140" s="69">
        <v>0.87360000000000004</v>
      </c>
      <c r="F140" s="31">
        <f t="shared" si="22"/>
        <v>1197776.18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  <c r="M140" s="33">
        <v>0</v>
      </c>
      <c r="N140" s="31">
        <v>0</v>
      </c>
      <c r="O140" s="31">
        <v>1549</v>
      </c>
      <c r="P140" s="31">
        <v>1180075.05</v>
      </c>
      <c r="Q140" s="31">
        <v>0</v>
      </c>
      <c r="R140" s="31">
        <v>0</v>
      </c>
      <c r="S140" s="31">
        <v>0</v>
      </c>
      <c r="T140" s="132">
        <v>0</v>
      </c>
      <c r="U140" s="31">
        <v>0</v>
      </c>
      <c r="V140" s="31">
        <v>0</v>
      </c>
      <c r="W140" s="31">
        <v>0</v>
      </c>
      <c r="X140" s="31">
        <v>0</v>
      </c>
      <c r="Y140" s="31">
        <v>0</v>
      </c>
      <c r="Z140" s="31">
        <v>0</v>
      </c>
      <c r="AA140" s="31">
        <v>0</v>
      </c>
      <c r="AB140" s="31">
        <v>0</v>
      </c>
      <c r="AC140" s="31">
        <v>0</v>
      </c>
      <c r="AD140" s="31">
        <v>0</v>
      </c>
      <c r="AE140" s="31">
        <f t="shared" si="32"/>
        <v>17701.13</v>
      </c>
      <c r="AF140" s="31">
        <v>0</v>
      </c>
      <c r="AG140" s="31">
        <v>0</v>
      </c>
      <c r="AH140" s="129" t="s">
        <v>274</v>
      </c>
      <c r="AI140" s="129">
        <v>2020</v>
      </c>
      <c r="AJ140" s="129">
        <v>2020</v>
      </c>
    </row>
    <row r="141" spans="1:36" ht="61.5" x14ac:dyDescent="0.85">
      <c r="A141" s="6">
        <v>1</v>
      </c>
      <c r="B141" s="66">
        <f>SUBTOTAL(103,$A$66:A141)</f>
        <v>70</v>
      </c>
      <c r="C141" s="131" t="s">
        <v>1511</v>
      </c>
      <c r="D141" s="89" t="s">
        <v>1068</v>
      </c>
      <c r="E141" s="69">
        <v>0.78059999999999996</v>
      </c>
      <c r="F141" s="31">
        <f t="shared" si="22"/>
        <v>69473.710000000006</v>
      </c>
      <c r="G141" s="31">
        <v>0</v>
      </c>
      <c r="H141" s="31">
        <v>0</v>
      </c>
      <c r="I141" s="31">
        <v>0</v>
      </c>
      <c r="J141" s="31">
        <v>0</v>
      </c>
      <c r="K141" s="31">
        <v>0</v>
      </c>
      <c r="L141" s="31">
        <v>0</v>
      </c>
      <c r="M141" s="33">
        <v>0</v>
      </c>
      <c r="N141" s="31">
        <v>0</v>
      </c>
      <c r="O141" s="31">
        <v>450</v>
      </c>
      <c r="P141" s="31">
        <v>68447</v>
      </c>
      <c r="Q141" s="31">
        <v>0</v>
      </c>
      <c r="R141" s="31">
        <v>0</v>
      </c>
      <c r="S141" s="31">
        <v>0</v>
      </c>
      <c r="T141" s="132">
        <v>0</v>
      </c>
      <c r="U141" s="31">
        <v>0</v>
      </c>
      <c r="V141" s="31">
        <v>0</v>
      </c>
      <c r="W141" s="31">
        <v>0</v>
      </c>
      <c r="X141" s="31">
        <v>0</v>
      </c>
      <c r="Y141" s="31">
        <v>0</v>
      </c>
      <c r="Z141" s="31">
        <v>0</v>
      </c>
      <c r="AA141" s="31">
        <v>0</v>
      </c>
      <c r="AB141" s="31">
        <v>0</v>
      </c>
      <c r="AC141" s="31">
        <v>0</v>
      </c>
      <c r="AD141" s="31">
        <v>0</v>
      </c>
      <c r="AE141" s="31">
        <f t="shared" si="32"/>
        <v>1026.71</v>
      </c>
      <c r="AF141" s="31">
        <v>0</v>
      </c>
      <c r="AG141" s="31">
        <v>0</v>
      </c>
      <c r="AH141" s="129" t="s">
        <v>274</v>
      </c>
      <c r="AI141" s="129">
        <v>2020</v>
      </c>
      <c r="AJ141" s="129">
        <v>2020</v>
      </c>
    </row>
    <row r="142" spans="1:36" ht="61.5" x14ac:dyDescent="0.85">
      <c r="A142" s="6">
        <v>1</v>
      </c>
      <c r="B142" s="66">
        <f>SUBTOTAL(103,$A$66:A142)</f>
        <v>71</v>
      </c>
      <c r="C142" s="131" t="s">
        <v>1191</v>
      </c>
      <c r="D142" s="89" t="s">
        <v>1442</v>
      </c>
      <c r="E142" s="69">
        <v>0.88049999999999995</v>
      </c>
      <c r="F142" s="31">
        <f t="shared" si="22"/>
        <v>275836.81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3">
        <v>0</v>
      </c>
      <c r="N142" s="31">
        <v>0</v>
      </c>
      <c r="O142" s="31">
        <v>498</v>
      </c>
      <c r="P142" s="31">
        <v>271760.40000000002</v>
      </c>
      <c r="Q142" s="31">
        <v>0</v>
      </c>
      <c r="R142" s="31">
        <v>0</v>
      </c>
      <c r="S142" s="31">
        <v>0</v>
      </c>
      <c r="T142" s="132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v>0</v>
      </c>
      <c r="AD142" s="31">
        <v>0</v>
      </c>
      <c r="AE142" s="31">
        <f t="shared" si="32"/>
        <v>4076.41</v>
      </c>
      <c r="AF142" s="31">
        <v>0</v>
      </c>
      <c r="AG142" s="31">
        <v>0</v>
      </c>
      <c r="AH142" s="129" t="s">
        <v>274</v>
      </c>
      <c r="AI142" s="129">
        <v>2020</v>
      </c>
      <c r="AJ142" s="129">
        <v>2020</v>
      </c>
    </row>
    <row r="143" spans="1:36" ht="61.5" x14ac:dyDescent="0.85">
      <c r="A143" s="6">
        <v>1</v>
      </c>
      <c r="B143" s="66">
        <f>SUBTOTAL(103,$A$66:A143)</f>
        <v>72</v>
      </c>
      <c r="C143" s="131" t="s">
        <v>1512</v>
      </c>
      <c r="D143" s="89" t="s">
        <v>1441</v>
      </c>
      <c r="E143" s="69">
        <v>0.97189999999999999</v>
      </c>
      <c r="F143" s="31">
        <f t="shared" si="22"/>
        <v>101365.01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3">
        <v>0</v>
      </c>
      <c r="N143" s="31">
        <v>0</v>
      </c>
      <c r="O143" s="31">
        <v>1067</v>
      </c>
      <c r="P143" s="31">
        <v>99867</v>
      </c>
      <c r="Q143" s="31">
        <v>0</v>
      </c>
      <c r="R143" s="31">
        <v>0</v>
      </c>
      <c r="S143" s="31">
        <v>0</v>
      </c>
      <c r="T143" s="132">
        <v>0</v>
      </c>
      <c r="U143" s="31">
        <v>0</v>
      </c>
      <c r="V143" s="31">
        <v>0</v>
      </c>
      <c r="W143" s="31">
        <v>0</v>
      </c>
      <c r="X143" s="31">
        <v>0</v>
      </c>
      <c r="Y143" s="31">
        <v>0</v>
      </c>
      <c r="Z143" s="31">
        <v>0</v>
      </c>
      <c r="AA143" s="31">
        <v>0</v>
      </c>
      <c r="AB143" s="31">
        <v>0</v>
      </c>
      <c r="AC143" s="31">
        <v>0</v>
      </c>
      <c r="AD143" s="31">
        <v>0</v>
      </c>
      <c r="AE143" s="31">
        <f t="shared" si="32"/>
        <v>1498.01</v>
      </c>
      <c r="AF143" s="31">
        <v>0</v>
      </c>
      <c r="AG143" s="31">
        <v>0</v>
      </c>
      <c r="AH143" s="129" t="s">
        <v>274</v>
      </c>
      <c r="AI143" s="129">
        <v>2020</v>
      </c>
      <c r="AJ143" s="129">
        <v>2020</v>
      </c>
    </row>
    <row r="144" spans="1:36" ht="61.5" x14ac:dyDescent="0.85">
      <c r="A144" s="6">
        <v>1</v>
      </c>
      <c r="B144" s="66">
        <f>SUBTOTAL(103,$A$66:A144)</f>
        <v>73</v>
      </c>
      <c r="C144" s="131" t="s">
        <v>1550</v>
      </c>
      <c r="D144" s="89" t="s">
        <v>1068</v>
      </c>
      <c r="E144" s="69">
        <v>0.93899999999999995</v>
      </c>
      <c r="F144" s="31">
        <f t="shared" si="22"/>
        <v>86282.11</v>
      </c>
      <c r="G144" s="31">
        <v>0</v>
      </c>
      <c r="H144" s="31">
        <v>0</v>
      </c>
      <c r="I144" s="31">
        <v>0</v>
      </c>
      <c r="J144" s="31">
        <v>0</v>
      </c>
      <c r="K144" s="31">
        <v>0</v>
      </c>
      <c r="L144" s="31">
        <v>0</v>
      </c>
      <c r="M144" s="33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31">
        <v>0</v>
      </c>
      <c r="T144" s="132">
        <v>0</v>
      </c>
      <c r="U144" s="31">
        <v>0</v>
      </c>
      <c r="V144" s="31">
        <v>0</v>
      </c>
      <c r="W144" s="31">
        <v>0</v>
      </c>
      <c r="X144" s="31">
        <v>85007</v>
      </c>
      <c r="Y144" s="31">
        <v>0</v>
      </c>
      <c r="Z144" s="31">
        <v>0</v>
      </c>
      <c r="AA144" s="31">
        <v>0</v>
      </c>
      <c r="AB144" s="31">
        <v>0</v>
      </c>
      <c r="AC144" s="31">
        <v>0</v>
      </c>
      <c r="AD144" s="31">
        <v>0</v>
      </c>
      <c r="AE144" s="31">
        <f>ROUND(X144*1.5%,2)</f>
        <v>1275.1099999999999</v>
      </c>
      <c r="AF144" s="31">
        <v>0</v>
      </c>
      <c r="AG144" s="31">
        <v>0</v>
      </c>
      <c r="AH144" s="129" t="s">
        <v>274</v>
      </c>
      <c r="AI144" s="129">
        <v>2020</v>
      </c>
      <c r="AJ144" s="129">
        <v>2020</v>
      </c>
    </row>
    <row r="145" spans="1:36" ht="62.25" x14ac:dyDescent="0.9">
      <c r="B145" s="175" t="s">
        <v>1448</v>
      </c>
      <c r="C145" s="176"/>
      <c r="D145" s="130" t="s">
        <v>916</v>
      </c>
      <c r="E145" s="69">
        <f>AVERAGE(E146:E150)</f>
        <v>0.87974755396834392</v>
      </c>
      <c r="F145" s="31">
        <f>SUM(F146:F150)</f>
        <v>1568340.86</v>
      </c>
      <c r="G145" s="31">
        <f t="shared" ref="G145:AG145" si="33">SUM(G146:G150)</f>
        <v>0</v>
      </c>
      <c r="H145" s="31">
        <f t="shared" si="33"/>
        <v>0</v>
      </c>
      <c r="I145" s="31">
        <f t="shared" si="33"/>
        <v>0</v>
      </c>
      <c r="J145" s="31">
        <f t="shared" si="33"/>
        <v>0</v>
      </c>
      <c r="K145" s="31">
        <f t="shared" si="33"/>
        <v>0</v>
      </c>
      <c r="L145" s="31">
        <f t="shared" si="33"/>
        <v>0</v>
      </c>
      <c r="M145" s="33">
        <f t="shared" si="33"/>
        <v>0</v>
      </c>
      <c r="N145" s="31">
        <f t="shared" si="33"/>
        <v>0</v>
      </c>
      <c r="O145" s="31">
        <f t="shared" si="33"/>
        <v>5282.4000000000005</v>
      </c>
      <c r="P145" s="31">
        <f t="shared" si="33"/>
        <v>1545163.41</v>
      </c>
      <c r="Q145" s="31">
        <f t="shared" si="33"/>
        <v>0</v>
      </c>
      <c r="R145" s="31">
        <f t="shared" si="33"/>
        <v>0</v>
      </c>
      <c r="S145" s="31">
        <f t="shared" si="33"/>
        <v>0</v>
      </c>
      <c r="T145" s="31">
        <f t="shared" si="33"/>
        <v>0</v>
      </c>
      <c r="U145" s="31">
        <f t="shared" si="33"/>
        <v>0</v>
      </c>
      <c r="V145" s="31">
        <f t="shared" si="33"/>
        <v>0</v>
      </c>
      <c r="W145" s="31">
        <f t="shared" si="33"/>
        <v>0</v>
      </c>
      <c r="X145" s="31">
        <f t="shared" si="33"/>
        <v>0</v>
      </c>
      <c r="Y145" s="31">
        <f t="shared" si="33"/>
        <v>0</v>
      </c>
      <c r="Z145" s="31">
        <f t="shared" si="33"/>
        <v>0</v>
      </c>
      <c r="AA145" s="31">
        <f t="shared" si="33"/>
        <v>0</v>
      </c>
      <c r="AB145" s="31">
        <f t="shared" si="33"/>
        <v>0</v>
      </c>
      <c r="AC145" s="31">
        <f t="shared" si="33"/>
        <v>0</v>
      </c>
      <c r="AD145" s="31">
        <f t="shared" si="33"/>
        <v>0</v>
      </c>
      <c r="AE145" s="31">
        <f t="shared" si="33"/>
        <v>23177.45</v>
      </c>
      <c r="AF145" s="31">
        <f t="shared" si="33"/>
        <v>0</v>
      </c>
      <c r="AG145" s="31">
        <f t="shared" si="33"/>
        <v>0</v>
      </c>
      <c r="AH145" s="129" t="s">
        <v>916</v>
      </c>
      <c r="AI145" s="129" t="s">
        <v>916</v>
      </c>
      <c r="AJ145" s="129" t="s">
        <v>916</v>
      </c>
    </row>
    <row r="146" spans="1:36" ht="61.5" x14ac:dyDescent="0.85">
      <c r="A146" s="6">
        <v>1</v>
      </c>
      <c r="B146" s="66">
        <f>SUBTOTAL(103,$A$66:A146)</f>
        <v>74</v>
      </c>
      <c r="C146" s="131" t="s">
        <v>1513</v>
      </c>
      <c r="D146" s="72" t="s">
        <v>1066</v>
      </c>
      <c r="E146" s="69">
        <v>0.9054350997618551</v>
      </c>
      <c r="F146" s="31">
        <f t="shared" si="22"/>
        <v>388505.87</v>
      </c>
      <c r="G146" s="31">
        <v>0</v>
      </c>
      <c r="H146" s="31">
        <v>0</v>
      </c>
      <c r="I146" s="31">
        <v>0</v>
      </c>
      <c r="J146" s="31">
        <v>0</v>
      </c>
      <c r="K146" s="31">
        <v>0</v>
      </c>
      <c r="L146" s="31">
        <v>0</v>
      </c>
      <c r="M146" s="33">
        <v>0</v>
      </c>
      <c r="N146" s="31">
        <v>0</v>
      </c>
      <c r="O146" s="31">
        <v>1160.0999999999999</v>
      </c>
      <c r="P146" s="31">
        <v>382764.4</v>
      </c>
      <c r="Q146" s="31">
        <v>0</v>
      </c>
      <c r="R146" s="31">
        <v>0</v>
      </c>
      <c r="S146" s="31">
        <v>0</v>
      </c>
      <c r="T146" s="132">
        <v>0</v>
      </c>
      <c r="U146" s="31">
        <v>0</v>
      </c>
      <c r="V146" s="31">
        <v>0</v>
      </c>
      <c r="W146" s="31">
        <v>0</v>
      </c>
      <c r="X146" s="31">
        <v>0</v>
      </c>
      <c r="Y146" s="31">
        <v>0</v>
      </c>
      <c r="Z146" s="31">
        <v>0</v>
      </c>
      <c r="AA146" s="31">
        <v>0</v>
      </c>
      <c r="AB146" s="31">
        <v>0</v>
      </c>
      <c r="AC146" s="31">
        <v>0</v>
      </c>
      <c r="AD146" s="31">
        <v>0</v>
      </c>
      <c r="AE146" s="31">
        <f>ROUND(P146*1.5%,2)</f>
        <v>5741.47</v>
      </c>
      <c r="AF146" s="31">
        <v>0</v>
      </c>
      <c r="AG146" s="31">
        <v>0</v>
      </c>
      <c r="AH146" s="129" t="s">
        <v>274</v>
      </c>
      <c r="AI146" s="129">
        <v>2020</v>
      </c>
      <c r="AJ146" s="129">
        <v>2020</v>
      </c>
    </row>
    <row r="147" spans="1:36" ht="61.5" x14ac:dyDescent="0.85">
      <c r="A147" s="6">
        <v>1</v>
      </c>
      <c r="B147" s="66">
        <f>SUBTOTAL(103,$A$66:A147)</f>
        <v>75</v>
      </c>
      <c r="C147" s="131" t="s">
        <v>1514</v>
      </c>
      <c r="D147" s="72" t="s">
        <v>1071</v>
      </c>
      <c r="E147" s="69">
        <v>0.87345236547698324</v>
      </c>
      <c r="F147" s="31">
        <f t="shared" si="22"/>
        <v>388505.87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3">
        <v>0</v>
      </c>
      <c r="N147" s="31">
        <v>0</v>
      </c>
      <c r="O147" s="31">
        <v>1192.7</v>
      </c>
      <c r="P147" s="31">
        <v>382764.4</v>
      </c>
      <c r="Q147" s="31">
        <v>0</v>
      </c>
      <c r="R147" s="31">
        <v>0</v>
      </c>
      <c r="S147" s="31">
        <v>0</v>
      </c>
      <c r="T147" s="132">
        <v>0</v>
      </c>
      <c r="U147" s="31">
        <v>0</v>
      </c>
      <c r="V147" s="31">
        <v>0</v>
      </c>
      <c r="W147" s="31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v>0</v>
      </c>
      <c r="AD147" s="31">
        <v>0</v>
      </c>
      <c r="AE147" s="31">
        <f>ROUND(P147*1.5%,2)</f>
        <v>5741.47</v>
      </c>
      <c r="AF147" s="31">
        <v>0</v>
      </c>
      <c r="AG147" s="31">
        <v>0</v>
      </c>
      <c r="AH147" s="129" t="s">
        <v>274</v>
      </c>
      <c r="AI147" s="129">
        <v>2020</v>
      </c>
      <c r="AJ147" s="129">
        <v>2020</v>
      </c>
    </row>
    <row r="148" spans="1:36" ht="61.5" x14ac:dyDescent="0.85">
      <c r="A148" s="6">
        <v>1</v>
      </c>
      <c r="B148" s="66">
        <f>SUBTOTAL(103,$A$66:A148)</f>
        <v>76</v>
      </c>
      <c r="C148" s="131" t="s">
        <v>392</v>
      </c>
      <c r="D148" s="72" t="s">
        <v>1067</v>
      </c>
      <c r="E148" s="69">
        <v>0.86236529068576662</v>
      </c>
      <c r="F148" s="31">
        <f t="shared" si="22"/>
        <v>292385.17000000004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  <c r="M148" s="33">
        <v>0</v>
      </c>
      <c r="N148" s="31">
        <v>0</v>
      </c>
      <c r="O148" s="31">
        <v>1207</v>
      </c>
      <c r="P148" s="31">
        <v>288064.21000000002</v>
      </c>
      <c r="Q148" s="31">
        <v>0</v>
      </c>
      <c r="R148" s="31">
        <v>0</v>
      </c>
      <c r="S148" s="31">
        <v>0</v>
      </c>
      <c r="T148" s="132">
        <v>0</v>
      </c>
      <c r="U148" s="31">
        <v>0</v>
      </c>
      <c r="V148" s="31">
        <v>0</v>
      </c>
      <c r="W148" s="31">
        <v>0</v>
      </c>
      <c r="X148" s="31">
        <v>0</v>
      </c>
      <c r="Y148" s="31">
        <v>0</v>
      </c>
      <c r="Z148" s="31">
        <v>0</v>
      </c>
      <c r="AA148" s="31">
        <v>0</v>
      </c>
      <c r="AB148" s="31">
        <v>0</v>
      </c>
      <c r="AC148" s="31">
        <v>0</v>
      </c>
      <c r="AD148" s="31">
        <v>0</v>
      </c>
      <c r="AE148" s="31">
        <f>ROUND(P148*1.5%,2)</f>
        <v>4320.96</v>
      </c>
      <c r="AF148" s="31">
        <v>0</v>
      </c>
      <c r="AG148" s="31">
        <v>0</v>
      </c>
      <c r="AH148" s="129" t="s">
        <v>274</v>
      </c>
      <c r="AI148" s="129">
        <v>2020</v>
      </c>
      <c r="AJ148" s="129">
        <v>2020</v>
      </c>
    </row>
    <row r="149" spans="1:36" ht="61.5" x14ac:dyDescent="0.85">
      <c r="A149" s="6">
        <v>1</v>
      </c>
      <c r="B149" s="66">
        <f>SUBTOTAL(103,$A$66:A149)</f>
        <v>77</v>
      </c>
      <c r="C149" s="131" t="s">
        <v>1515</v>
      </c>
      <c r="D149" s="72" t="s">
        <v>1439</v>
      </c>
      <c r="E149" s="69">
        <v>0.85951459937778774</v>
      </c>
      <c r="F149" s="31">
        <f t="shared" si="22"/>
        <v>292385.17000000004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3">
        <v>0</v>
      </c>
      <c r="N149" s="31">
        <v>0</v>
      </c>
      <c r="O149" s="31">
        <v>1206</v>
      </c>
      <c r="P149" s="31">
        <v>288064.21000000002</v>
      </c>
      <c r="Q149" s="31">
        <v>0</v>
      </c>
      <c r="R149" s="31">
        <v>0</v>
      </c>
      <c r="S149" s="31">
        <v>0</v>
      </c>
      <c r="T149" s="132">
        <v>0</v>
      </c>
      <c r="U149" s="31">
        <v>0</v>
      </c>
      <c r="V149" s="31">
        <v>0</v>
      </c>
      <c r="W149" s="31">
        <v>0</v>
      </c>
      <c r="X149" s="31">
        <v>0</v>
      </c>
      <c r="Y149" s="31">
        <v>0</v>
      </c>
      <c r="Z149" s="31">
        <v>0</v>
      </c>
      <c r="AA149" s="31">
        <v>0</v>
      </c>
      <c r="AB149" s="31">
        <v>0</v>
      </c>
      <c r="AC149" s="31">
        <v>0</v>
      </c>
      <c r="AD149" s="31">
        <v>0</v>
      </c>
      <c r="AE149" s="31">
        <f>ROUND(P149*1.5%,2)</f>
        <v>4320.96</v>
      </c>
      <c r="AF149" s="31">
        <v>0</v>
      </c>
      <c r="AG149" s="31">
        <v>0</v>
      </c>
      <c r="AH149" s="129" t="s">
        <v>274</v>
      </c>
      <c r="AI149" s="129">
        <v>2020</v>
      </c>
      <c r="AJ149" s="129">
        <v>2020</v>
      </c>
    </row>
    <row r="150" spans="1:36" ht="61.5" x14ac:dyDescent="0.85">
      <c r="A150" s="6">
        <v>1</v>
      </c>
      <c r="B150" s="66">
        <f>SUBTOTAL(103,$A$66:A150)</f>
        <v>78</v>
      </c>
      <c r="C150" s="131" t="s">
        <v>1516</v>
      </c>
      <c r="D150" s="72" t="s">
        <v>1437</v>
      </c>
      <c r="E150" s="69">
        <v>0.89797041453932691</v>
      </c>
      <c r="F150" s="31">
        <f t="shared" si="22"/>
        <v>206558.78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3">
        <v>0</v>
      </c>
      <c r="N150" s="31">
        <v>0</v>
      </c>
      <c r="O150" s="31">
        <v>516.6</v>
      </c>
      <c r="P150" s="31">
        <v>203506.19</v>
      </c>
      <c r="Q150" s="31">
        <v>0</v>
      </c>
      <c r="R150" s="31">
        <v>0</v>
      </c>
      <c r="S150" s="31">
        <v>0</v>
      </c>
      <c r="T150" s="132">
        <v>0</v>
      </c>
      <c r="U150" s="31">
        <v>0</v>
      </c>
      <c r="V150" s="31">
        <v>0</v>
      </c>
      <c r="W150" s="31">
        <v>0</v>
      </c>
      <c r="X150" s="31">
        <v>0</v>
      </c>
      <c r="Y150" s="31">
        <v>0</v>
      </c>
      <c r="Z150" s="31">
        <v>0</v>
      </c>
      <c r="AA150" s="31">
        <v>0</v>
      </c>
      <c r="AB150" s="31">
        <v>0</v>
      </c>
      <c r="AC150" s="31">
        <v>0</v>
      </c>
      <c r="AD150" s="31">
        <v>0</v>
      </c>
      <c r="AE150" s="31">
        <f>ROUND(P150*1.5%,2)</f>
        <v>3052.59</v>
      </c>
      <c r="AF150" s="31">
        <v>0</v>
      </c>
      <c r="AG150" s="31">
        <v>0</v>
      </c>
      <c r="AH150" s="129" t="s">
        <v>274</v>
      </c>
      <c r="AI150" s="129">
        <v>2020</v>
      </c>
      <c r="AJ150" s="129">
        <v>2020</v>
      </c>
    </row>
    <row r="151" spans="1:36" ht="62.25" x14ac:dyDescent="0.9">
      <c r="B151" s="175" t="s">
        <v>910</v>
      </c>
      <c r="C151" s="176"/>
      <c r="D151" s="130" t="s">
        <v>916</v>
      </c>
      <c r="E151" s="69">
        <f>AVERAGE(E152:E153)</f>
        <v>0.86194999999999999</v>
      </c>
      <c r="F151" s="31">
        <f>SUM(F152:F153)</f>
        <v>3247611.26</v>
      </c>
      <c r="G151" s="31">
        <f t="shared" ref="G151:AG151" si="34">SUM(G152:G153)</f>
        <v>0</v>
      </c>
      <c r="H151" s="31">
        <f t="shared" si="34"/>
        <v>0</v>
      </c>
      <c r="I151" s="31">
        <f t="shared" si="34"/>
        <v>0</v>
      </c>
      <c r="J151" s="31">
        <f t="shared" si="34"/>
        <v>0</v>
      </c>
      <c r="K151" s="31">
        <f t="shared" si="34"/>
        <v>0</v>
      </c>
      <c r="L151" s="31">
        <f t="shared" si="34"/>
        <v>0</v>
      </c>
      <c r="M151" s="33">
        <f t="shared" si="34"/>
        <v>0</v>
      </c>
      <c r="N151" s="31">
        <f t="shared" si="34"/>
        <v>0</v>
      </c>
      <c r="O151" s="31">
        <f t="shared" si="34"/>
        <v>1625</v>
      </c>
      <c r="P151" s="31">
        <f t="shared" si="34"/>
        <v>3199617</v>
      </c>
      <c r="Q151" s="31">
        <f t="shared" si="34"/>
        <v>0</v>
      </c>
      <c r="R151" s="31">
        <f t="shared" si="34"/>
        <v>0</v>
      </c>
      <c r="S151" s="31">
        <f t="shared" si="34"/>
        <v>0</v>
      </c>
      <c r="T151" s="31">
        <f t="shared" si="34"/>
        <v>0</v>
      </c>
      <c r="U151" s="31">
        <f t="shared" si="34"/>
        <v>0</v>
      </c>
      <c r="V151" s="31">
        <f t="shared" si="34"/>
        <v>0</v>
      </c>
      <c r="W151" s="31">
        <f t="shared" si="34"/>
        <v>0</v>
      </c>
      <c r="X151" s="31">
        <f t="shared" si="34"/>
        <v>0</v>
      </c>
      <c r="Y151" s="31">
        <f t="shared" si="34"/>
        <v>0</v>
      </c>
      <c r="Z151" s="31">
        <f t="shared" si="34"/>
        <v>0</v>
      </c>
      <c r="AA151" s="31">
        <f t="shared" si="34"/>
        <v>0</v>
      </c>
      <c r="AB151" s="31">
        <f t="shared" si="34"/>
        <v>0</v>
      </c>
      <c r="AC151" s="31">
        <f t="shared" si="34"/>
        <v>0</v>
      </c>
      <c r="AD151" s="31">
        <f t="shared" si="34"/>
        <v>0</v>
      </c>
      <c r="AE151" s="31">
        <f t="shared" si="34"/>
        <v>47994.259999999995</v>
      </c>
      <c r="AF151" s="31">
        <f t="shared" si="34"/>
        <v>0</v>
      </c>
      <c r="AG151" s="31">
        <f t="shared" si="34"/>
        <v>0</v>
      </c>
      <c r="AH151" s="129" t="s">
        <v>916</v>
      </c>
      <c r="AI151" s="129" t="s">
        <v>916</v>
      </c>
      <c r="AJ151" s="129" t="s">
        <v>916</v>
      </c>
    </row>
    <row r="152" spans="1:36" ht="61.5" x14ac:dyDescent="0.85">
      <c r="A152" s="6">
        <v>1</v>
      </c>
      <c r="B152" s="66">
        <f>SUBTOTAL(103,$A$66:A152)</f>
        <v>79</v>
      </c>
      <c r="C152" s="131" t="s">
        <v>1517</v>
      </c>
      <c r="D152" s="72" t="s">
        <v>1440</v>
      </c>
      <c r="E152" s="69">
        <v>0.82040000000000002</v>
      </c>
      <c r="F152" s="31">
        <f t="shared" si="22"/>
        <v>1625561.07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  <c r="M152" s="33">
        <v>0</v>
      </c>
      <c r="N152" s="31">
        <v>0</v>
      </c>
      <c r="O152" s="31">
        <v>812.5</v>
      </c>
      <c r="P152" s="31">
        <v>1601538</v>
      </c>
      <c r="Q152" s="31">
        <v>0</v>
      </c>
      <c r="R152" s="31">
        <v>0</v>
      </c>
      <c r="S152" s="31">
        <v>0</v>
      </c>
      <c r="T152" s="31">
        <v>0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0</v>
      </c>
      <c r="AE152" s="31">
        <f>ROUND(P152*1.5%,2)</f>
        <v>24023.07</v>
      </c>
      <c r="AF152" s="31">
        <v>0</v>
      </c>
      <c r="AG152" s="31">
        <v>0</v>
      </c>
      <c r="AH152" s="129" t="s">
        <v>274</v>
      </c>
      <c r="AI152" s="129">
        <v>2020</v>
      </c>
      <c r="AJ152" s="129">
        <v>2020</v>
      </c>
    </row>
    <row r="153" spans="1:36" ht="61.5" x14ac:dyDescent="0.85">
      <c r="A153" s="6">
        <v>1</v>
      </c>
      <c r="B153" s="66">
        <f>SUBTOTAL(103,$A$66:A153)</f>
        <v>80</v>
      </c>
      <c r="C153" s="131" t="s">
        <v>1518</v>
      </c>
      <c r="D153" s="72" t="s">
        <v>1438</v>
      </c>
      <c r="E153" s="69">
        <v>0.90349999999999997</v>
      </c>
      <c r="F153" s="31">
        <f>G153+H153+I153+J153+K153+L153+N153+P153+R153+T153+V153+W153+X153+Y153+Z153+AA153+AB153+AC153+AD153+AE153+AF153+AG153</f>
        <v>1622050.19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3">
        <v>0</v>
      </c>
      <c r="N153" s="31">
        <v>0</v>
      </c>
      <c r="O153" s="31">
        <v>812.5</v>
      </c>
      <c r="P153" s="31">
        <v>1598079</v>
      </c>
      <c r="Q153" s="31">
        <v>0</v>
      </c>
      <c r="R153" s="31">
        <v>0</v>
      </c>
      <c r="S153" s="31">
        <v>0</v>
      </c>
      <c r="T153" s="31">
        <v>0</v>
      </c>
      <c r="U153" s="31">
        <v>0</v>
      </c>
      <c r="V153" s="31">
        <v>0</v>
      </c>
      <c r="W153" s="31">
        <v>0</v>
      </c>
      <c r="X153" s="31">
        <v>0</v>
      </c>
      <c r="Y153" s="31">
        <v>0</v>
      </c>
      <c r="Z153" s="31">
        <v>0</v>
      </c>
      <c r="AA153" s="31">
        <v>0</v>
      </c>
      <c r="AB153" s="31">
        <v>0</v>
      </c>
      <c r="AC153" s="31">
        <v>0</v>
      </c>
      <c r="AD153" s="31">
        <v>0</v>
      </c>
      <c r="AE153" s="31">
        <f>ROUND(P153*1.5%,2)</f>
        <v>23971.19</v>
      </c>
      <c r="AF153" s="31">
        <v>0</v>
      </c>
      <c r="AG153" s="31">
        <v>0</v>
      </c>
      <c r="AH153" s="129" t="s">
        <v>274</v>
      </c>
      <c r="AI153" s="129">
        <v>2020</v>
      </c>
      <c r="AJ153" s="129">
        <v>2020</v>
      </c>
    </row>
    <row r="154" spans="1:36" ht="61.5" x14ac:dyDescent="0.85">
      <c r="B154" s="177" t="s">
        <v>1449</v>
      </c>
      <c r="C154" s="131"/>
      <c r="D154" s="130" t="s">
        <v>916</v>
      </c>
      <c r="E154" s="69">
        <f>AVERAGE(E155:E155)</f>
        <v>0.93579999999999997</v>
      </c>
      <c r="F154" s="31">
        <f>F155</f>
        <v>13131.869999999999</v>
      </c>
      <c r="G154" s="31">
        <f t="shared" ref="G154:AG154" si="35">G155</f>
        <v>0</v>
      </c>
      <c r="H154" s="31">
        <f t="shared" si="35"/>
        <v>0</v>
      </c>
      <c r="I154" s="31">
        <f t="shared" si="35"/>
        <v>0</v>
      </c>
      <c r="J154" s="31">
        <f t="shared" si="35"/>
        <v>0</v>
      </c>
      <c r="K154" s="31">
        <f t="shared" si="35"/>
        <v>0</v>
      </c>
      <c r="L154" s="31">
        <f t="shared" si="35"/>
        <v>0</v>
      </c>
      <c r="M154" s="33">
        <f t="shared" si="35"/>
        <v>0</v>
      </c>
      <c r="N154" s="31">
        <f t="shared" si="35"/>
        <v>0</v>
      </c>
      <c r="O154" s="31">
        <f t="shared" si="35"/>
        <v>471.6</v>
      </c>
      <c r="P154" s="31">
        <f t="shared" si="35"/>
        <v>12937.8</v>
      </c>
      <c r="Q154" s="31">
        <f t="shared" si="35"/>
        <v>0</v>
      </c>
      <c r="R154" s="31">
        <f t="shared" si="35"/>
        <v>0</v>
      </c>
      <c r="S154" s="31">
        <f t="shared" si="35"/>
        <v>0</v>
      </c>
      <c r="T154" s="31">
        <f t="shared" si="35"/>
        <v>0</v>
      </c>
      <c r="U154" s="31">
        <f t="shared" si="35"/>
        <v>0</v>
      </c>
      <c r="V154" s="31">
        <f t="shared" si="35"/>
        <v>0</v>
      </c>
      <c r="W154" s="31">
        <f t="shared" si="35"/>
        <v>0</v>
      </c>
      <c r="X154" s="31">
        <f t="shared" si="35"/>
        <v>0</v>
      </c>
      <c r="Y154" s="31">
        <f t="shared" si="35"/>
        <v>0</v>
      </c>
      <c r="Z154" s="31">
        <f t="shared" si="35"/>
        <v>0</v>
      </c>
      <c r="AA154" s="31">
        <f t="shared" si="35"/>
        <v>0</v>
      </c>
      <c r="AB154" s="31">
        <f t="shared" si="35"/>
        <v>0</v>
      </c>
      <c r="AC154" s="31">
        <f t="shared" si="35"/>
        <v>0</v>
      </c>
      <c r="AD154" s="31">
        <f t="shared" si="35"/>
        <v>0</v>
      </c>
      <c r="AE154" s="31">
        <f t="shared" si="35"/>
        <v>194.07</v>
      </c>
      <c r="AF154" s="31">
        <f t="shared" si="35"/>
        <v>0</v>
      </c>
      <c r="AG154" s="31">
        <f t="shared" si="35"/>
        <v>0</v>
      </c>
      <c r="AH154" s="129" t="s">
        <v>916</v>
      </c>
      <c r="AI154" s="129" t="s">
        <v>916</v>
      </c>
      <c r="AJ154" s="129" t="s">
        <v>916</v>
      </c>
    </row>
    <row r="155" spans="1:36" ht="61.5" x14ac:dyDescent="0.85">
      <c r="A155" s="6">
        <v>1</v>
      </c>
      <c r="B155" s="66">
        <f>SUBTOTAL(103,$A$66:A155)</f>
        <v>81</v>
      </c>
      <c r="C155" s="131" t="s">
        <v>1519</v>
      </c>
      <c r="D155" s="89" t="s">
        <v>1066</v>
      </c>
      <c r="E155" s="69">
        <v>0.93579999999999997</v>
      </c>
      <c r="F155" s="31">
        <f>G155+H155+I155+J155+K155+L155+N155+P155+R155+T155+V155+W155+X155+Y155+Z155+AA155+AB155+AC155+AD155+AE155+AF155+AG155</f>
        <v>13131.869999999999</v>
      </c>
      <c r="G155" s="31">
        <v>0</v>
      </c>
      <c r="H155" s="31">
        <v>0</v>
      </c>
      <c r="I155" s="31">
        <v>0</v>
      </c>
      <c r="J155" s="31">
        <v>0</v>
      </c>
      <c r="K155" s="31">
        <v>0</v>
      </c>
      <c r="L155" s="31">
        <v>0</v>
      </c>
      <c r="M155" s="33">
        <v>0</v>
      </c>
      <c r="N155" s="31">
        <v>0</v>
      </c>
      <c r="O155" s="31">
        <v>471.6</v>
      </c>
      <c r="P155" s="31">
        <v>12937.8</v>
      </c>
      <c r="Q155" s="31">
        <v>0</v>
      </c>
      <c r="R155" s="31">
        <v>0</v>
      </c>
      <c r="S155" s="31">
        <v>0</v>
      </c>
      <c r="T155" s="31">
        <v>0</v>
      </c>
      <c r="U155" s="31">
        <v>0</v>
      </c>
      <c r="V155" s="31">
        <v>0</v>
      </c>
      <c r="W155" s="31">
        <v>0</v>
      </c>
      <c r="X155" s="31">
        <v>0</v>
      </c>
      <c r="Y155" s="31">
        <v>0</v>
      </c>
      <c r="Z155" s="31">
        <v>0</v>
      </c>
      <c r="AA155" s="31">
        <v>0</v>
      </c>
      <c r="AB155" s="31">
        <v>0</v>
      </c>
      <c r="AC155" s="31">
        <v>0</v>
      </c>
      <c r="AD155" s="31">
        <v>0</v>
      </c>
      <c r="AE155" s="31">
        <f>ROUND(P155*1.5%,2)</f>
        <v>194.07</v>
      </c>
      <c r="AF155" s="31">
        <v>0</v>
      </c>
      <c r="AG155" s="31">
        <v>0</v>
      </c>
      <c r="AH155" s="129" t="s">
        <v>274</v>
      </c>
      <c r="AI155" s="129">
        <v>2020</v>
      </c>
      <c r="AJ155" s="129">
        <v>2020</v>
      </c>
    </row>
    <row r="156" spans="1:36" ht="61.5" x14ac:dyDescent="0.85">
      <c r="B156" s="177" t="s">
        <v>885</v>
      </c>
      <c r="C156" s="131"/>
      <c r="D156" s="130" t="s">
        <v>916</v>
      </c>
      <c r="E156" s="69">
        <f>E157</f>
        <v>0.9657</v>
      </c>
      <c r="F156" s="31">
        <f>F157</f>
        <v>778244.79</v>
      </c>
      <c r="G156" s="31">
        <f t="shared" ref="G156:AG156" si="36">G157</f>
        <v>0</v>
      </c>
      <c r="H156" s="31">
        <f t="shared" si="36"/>
        <v>0</v>
      </c>
      <c r="I156" s="31">
        <f t="shared" si="36"/>
        <v>0</v>
      </c>
      <c r="J156" s="31">
        <f t="shared" si="36"/>
        <v>0</v>
      </c>
      <c r="K156" s="31">
        <f t="shared" si="36"/>
        <v>0</v>
      </c>
      <c r="L156" s="31">
        <f t="shared" si="36"/>
        <v>0</v>
      </c>
      <c r="M156" s="33">
        <f t="shared" si="36"/>
        <v>0</v>
      </c>
      <c r="N156" s="31">
        <f t="shared" si="36"/>
        <v>0</v>
      </c>
      <c r="O156" s="31">
        <f t="shared" si="36"/>
        <v>972.5</v>
      </c>
      <c r="P156" s="31">
        <f t="shared" si="36"/>
        <v>766743.64</v>
      </c>
      <c r="Q156" s="31">
        <f t="shared" si="36"/>
        <v>0</v>
      </c>
      <c r="R156" s="31">
        <f t="shared" si="36"/>
        <v>0</v>
      </c>
      <c r="S156" s="31">
        <f t="shared" si="36"/>
        <v>0</v>
      </c>
      <c r="T156" s="31">
        <f t="shared" si="36"/>
        <v>0</v>
      </c>
      <c r="U156" s="31">
        <f t="shared" si="36"/>
        <v>0</v>
      </c>
      <c r="V156" s="31">
        <f t="shared" si="36"/>
        <v>0</v>
      </c>
      <c r="W156" s="31">
        <f t="shared" si="36"/>
        <v>0</v>
      </c>
      <c r="X156" s="31">
        <f t="shared" si="36"/>
        <v>0</v>
      </c>
      <c r="Y156" s="31">
        <f t="shared" si="36"/>
        <v>0</v>
      </c>
      <c r="Z156" s="31">
        <f t="shared" si="36"/>
        <v>0</v>
      </c>
      <c r="AA156" s="31">
        <f t="shared" si="36"/>
        <v>0</v>
      </c>
      <c r="AB156" s="31">
        <f t="shared" si="36"/>
        <v>0</v>
      </c>
      <c r="AC156" s="31">
        <f t="shared" si="36"/>
        <v>0</v>
      </c>
      <c r="AD156" s="31">
        <f t="shared" si="36"/>
        <v>0</v>
      </c>
      <c r="AE156" s="31">
        <f t="shared" si="36"/>
        <v>11501.15</v>
      </c>
      <c r="AF156" s="31">
        <f t="shared" si="36"/>
        <v>0</v>
      </c>
      <c r="AG156" s="31">
        <f t="shared" si="36"/>
        <v>0</v>
      </c>
      <c r="AH156" s="129" t="s">
        <v>916</v>
      </c>
      <c r="AI156" s="129" t="s">
        <v>916</v>
      </c>
      <c r="AJ156" s="129" t="s">
        <v>916</v>
      </c>
    </row>
    <row r="157" spans="1:36" ht="61.5" x14ac:dyDescent="0.85">
      <c r="A157" s="6">
        <v>1</v>
      </c>
      <c r="B157" s="66">
        <f>SUBTOTAL(103,$A$66:A157)</f>
        <v>82</v>
      </c>
      <c r="C157" s="131" t="s">
        <v>1520</v>
      </c>
      <c r="D157" s="72" t="s">
        <v>1067</v>
      </c>
      <c r="E157" s="69">
        <v>0.9657</v>
      </c>
      <c r="F157" s="31">
        <f>G157+H157+I157+J157+K157+L157+N157+P157+R157+T157+V157+W157+X157+Y157+Z157+AA157+AB157+AC157+AD157+AE157+AF157+AG157</f>
        <v>778244.79</v>
      </c>
      <c r="G157" s="31">
        <v>0</v>
      </c>
      <c r="H157" s="31">
        <v>0</v>
      </c>
      <c r="I157" s="31">
        <v>0</v>
      </c>
      <c r="J157" s="31">
        <v>0</v>
      </c>
      <c r="K157" s="31">
        <v>0</v>
      </c>
      <c r="L157" s="31">
        <v>0</v>
      </c>
      <c r="M157" s="33">
        <v>0</v>
      </c>
      <c r="N157" s="31">
        <v>0</v>
      </c>
      <c r="O157" s="31">
        <v>972.5</v>
      </c>
      <c r="P157" s="31">
        <v>766743.64</v>
      </c>
      <c r="Q157" s="31">
        <v>0</v>
      </c>
      <c r="R157" s="31">
        <v>0</v>
      </c>
      <c r="S157" s="31">
        <v>0</v>
      </c>
      <c r="T157" s="31">
        <v>0</v>
      </c>
      <c r="U157" s="31">
        <v>0</v>
      </c>
      <c r="V157" s="31">
        <v>0</v>
      </c>
      <c r="W157" s="31">
        <v>0</v>
      </c>
      <c r="X157" s="31">
        <v>0</v>
      </c>
      <c r="Y157" s="31">
        <v>0</v>
      </c>
      <c r="Z157" s="31">
        <v>0</v>
      </c>
      <c r="AA157" s="31">
        <v>0</v>
      </c>
      <c r="AB157" s="31">
        <v>0</v>
      </c>
      <c r="AC157" s="31">
        <v>0</v>
      </c>
      <c r="AD157" s="31">
        <v>0</v>
      </c>
      <c r="AE157" s="31">
        <f>ROUND(P157*1.5%,2)</f>
        <v>11501.15</v>
      </c>
      <c r="AF157" s="31">
        <v>0</v>
      </c>
      <c r="AG157" s="31">
        <v>0</v>
      </c>
      <c r="AH157" s="129" t="s">
        <v>274</v>
      </c>
      <c r="AI157" s="129">
        <v>2020</v>
      </c>
      <c r="AJ157" s="129">
        <v>2020</v>
      </c>
    </row>
    <row r="158" spans="1:36" ht="61.5" x14ac:dyDescent="0.85">
      <c r="B158" s="177" t="s">
        <v>871</v>
      </c>
      <c r="C158" s="131"/>
      <c r="D158" s="130" t="s">
        <v>916</v>
      </c>
      <c r="E158" s="69">
        <f>AVERAGE(E159:E162)</f>
        <v>0.8012999999999999</v>
      </c>
      <c r="F158" s="31">
        <f>SUM(F159:F162)</f>
        <v>1212193.2</v>
      </c>
      <c r="G158" s="31">
        <f t="shared" ref="G158:AG158" si="37">SUM(G159:G162)</f>
        <v>0</v>
      </c>
      <c r="H158" s="31">
        <f t="shared" si="37"/>
        <v>0</v>
      </c>
      <c r="I158" s="31">
        <f t="shared" si="37"/>
        <v>0</v>
      </c>
      <c r="J158" s="31">
        <f t="shared" si="37"/>
        <v>0</v>
      </c>
      <c r="K158" s="31">
        <f t="shared" si="37"/>
        <v>0</v>
      </c>
      <c r="L158" s="31">
        <f t="shared" si="37"/>
        <v>0</v>
      </c>
      <c r="M158" s="33">
        <f t="shared" si="37"/>
        <v>0</v>
      </c>
      <c r="N158" s="31">
        <f t="shared" si="37"/>
        <v>0</v>
      </c>
      <c r="O158" s="31">
        <f t="shared" si="37"/>
        <v>2077</v>
      </c>
      <c r="P158" s="31">
        <f t="shared" si="37"/>
        <v>831279</v>
      </c>
      <c r="Q158" s="31">
        <f t="shared" si="37"/>
        <v>0</v>
      </c>
      <c r="R158" s="31">
        <f t="shared" si="37"/>
        <v>0</v>
      </c>
      <c r="S158" s="31">
        <f t="shared" si="37"/>
        <v>157.6</v>
      </c>
      <c r="T158" s="31">
        <f t="shared" si="37"/>
        <v>363000</v>
      </c>
      <c r="U158" s="31">
        <f t="shared" si="37"/>
        <v>0</v>
      </c>
      <c r="V158" s="31">
        <f t="shared" si="37"/>
        <v>0</v>
      </c>
      <c r="W158" s="31">
        <f t="shared" si="37"/>
        <v>0</v>
      </c>
      <c r="X158" s="31">
        <f t="shared" si="37"/>
        <v>0</v>
      </c>
      <c r="Y158" s="31">
        <f t="shared" si="37"/>
        <v>0</v>
      </c>
      <c r="Z158" s="31">
        <f t="shared" si="37"/>
        <v>0</v>
      </c>
      <c r="AA158" s="31">
        <f t="shared" si="37"/>
        <v>0</v>
      </c>
      <c r="AB158" s="31">
        <f t="shared" si="37"/>
        <v>0</v>
      </c>
      <c r="AC158" s="31">
        <f t="shared" si="37"/>
        <v>0</v>
      </c>
      <c r="AD158" s="31">
        <f t="shared" si="37"/>
        <v>0</v>
      </c>
      <c r="AE158" s="31">
        <f t="shared" si="37"/>
        <v>17914.2</v>
      </c>
      <c r="AF158" s="31">
        <f t="shared" si="37"/>
        <v>0</v>
      </c>
      <c r="AG158" s="31">
        <f t="shared" si="37"/>
        <v>0</v>
      </c>
      <c r="AH158" s="129" t="s">
        <v>916</v>
      </c>
      <c r="AI158" s="129" t="s">
        <v>916</v>
      </c>
      <c r="AJ158" s="129" t="s">
        <v>916</v>
      </c>
    </row>
    <row r="159" spans="1:36" ht="61.5" x14ac:dyDescent="0.85">
      <c r="A159" s="6">
        <v>1</v>
      </c>
      <c r="B159" s="66">
        <f>SUBTOTAL(103,$A$66:A159)</f>
        <v>83</v>
      </c>
      <c r="C159" s="131" t="s">
        <v>1521</v>
      </c>
      <c r="D159" s="89" t="s">
        <v>1069</v>
      </c>
      <c r="E159" s="69">
        <v>0.83589999999999998</v>
      </c>
      <c r="F159" s="31">
        <f>G159+H159+I159+J159+K159+L159+N159+P159+R159+T159+V159+W159+X159+Y159+Z159+AA159+AB159+AC159+AD159+AE159+AF159+AG159</f>
        <v>778290.84</v>
      </c>
      <c r="G159" s="31">
        <v>0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  <c r="M159" s="33">
        <v>0</v>
      </c>
      <c r="N159" s="31">
        <v>0</v>
      </c>
      <c r="O159" s="31">
        <v>958</v>
      </c>
      <c r="P159" s="31">
        <v>766789</v>
      </c>
      <c r="Q159" s="31">
        <v>0</v>
      </c>
      <c r="R159" s="31">
        <v>0</v>
      </c>
      <c r="S159" s="31">
        <v>0</v>
      </c>
      <c r="T159" s="31">
        <v>0</v>
      </c>
      <c r="U159" s="31">
        <v>0</v>
      </c>
      <c r="V159" s="31">
        <v>0</v>
      </c>
      <c r="W159" s="31">
        <v>0</v>
      </c>
      <c r="X159" s="31">
        <v>0</v>
      </c>
      <c r="Y159" s="31">
        <v>0</v>
      </c>
      <c r="Z159" s="31">
        <v>0</v>
      </c>
      <c r="AA159" s="31">
        <v>0</v>
      </c>
      <c r="AB159" s="31">
        <v>0</v>
      </c>
      <c r="AC159" s="31">
        <v>0</v>
      </c>
      <c r="AD159" s="31">
        <v>0</v>
      </c>
      <c r="AE159" s="31">
        <f>ROUND(P159*1.5%,2)</f>
        <v>11501.84</v>
      </c>
      <c r="AF159" s="31">
        <v>0</v>
      </c>
      <c r="AG159" s="31">
        <v>0</v>
      </c>
      <c r="AH159" s="129" t="s">
        <v>274</v>
      </c>
      <c r="AI159" s="129">
        <v>2020</v>
      </c>
      <c r="AJ159" s="129">
        <v>2020</v>
      </c>
    </row>
    <row r="160" spans="1:36" ht="61.5" x14ac:dyDescent="0.85">
      <c r="A160" s="6">
        <v>1</v>
      </c>
      <c r="B160" s="66">
        <f>SUBTOTAL(103,$A$66:A160)</f>
        <v>84</v>
      </c>
      <c r="C160" s="131" t="s">
        <v>1522</v>
      </c>
      <c r="D160" s="72" t="s">
        <v>1067</v>
      </c>
      <c r="E160" s="69">
        <v>0.86939999999999995</v>
      </c>
      <c r="F160" s="31">
        <f>G160+H160+I160+J160+K160+L160+N160+P160+R160+T160+V160+W160+X160+Y160+Z160+AA160+AB160+AC160+AD160+AE160+AF160+AG160</f>
        <v>7786.07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  <c r="M160" s="33">
        <v>0</v>
      </c>
      <c r="N160" s="31">
        <v>0</v>
      </c>
      <c r="O160" s="31">
        <v>611</v>
      </c>
      <c r="P160" s="31">
        <v>7671</v>
      </c>
      <c r="Q160" s="31">
        <v>0</v>
      </c>
      <c r="R160" s="31">
        <v>0</v>
      </c>
      <c r="S160" s="31">
        <v>0</v>
      </c>
      <c r="T160" s="31">
        <v>0</v>
      </c>
      <c r="U160" s="31">
        <v>0</v>
      </c>
      <c r="V160" s="31">
        <v>0</v>
      </c>
      <c r="W160" s="31">
        <v>0</v>
      </c>
      <c r="X160" s="31">
        <v>0</v>
      </c>
      <c r="Y160" s="31">
        <v>0</v>
      </c>
      <c r="Z160" s="31">
        <v>0</v>
      </c>
      <c r="AA160" s="31">
        <v>0</v>
      </c>
      <c r="AB160" s="31">
        <v>0</v>
      </c>
      <c r="AC160" s="31">
        <v>0</v>
      </c>
      <c r="AD160" s="31">
        <v>0</v>
      </c>
      <c r="AE160" s="31">
        <f>ROUND(P160*1.5%,2)</f>
        <v>115.07</v>
      </c>
      <c r="AF160" s="31">
        <v>0</v>
      </c>
      <c r="AG160" s="31">
        <v>0</v>
      </c>
      <c r="AH160" s="129" t="s">
        <v>274</v>
      </c>
      <c r="AI160" s="129">
        <v>2020</v>
      </c>
      <c r="AJ160" s="129">
        <v>2020</v>
      </c>
    </row>
    <row r="161" spans="1:36" ht="61.5" x14ac:dyDescent="0.85">
      <c r="A161" s="6">
        <v>1</v>
      </c>
      <c r="B161" s="66">
        <f>SUBTOTAL(103,$A$66:A161)</f>
        <v>85</v>
      </c>
      <c r="C161" s="131" t="s">
        <v>1523</v>
      </c>
      <c r="D161" s="89" t="s">
        <v>1070</v>
      </c>
      <c r="E161" s="69">
        <v>0.62490000000000001</v>
      </c>
      <c r="F161" s="31">
        <f>G161+H161+I161+J161+K161+L161+N161+P161+R161+T161+V161+W161+X161+Y161+Z161+AA161+AB161+AC161+AD161+AE161+AF161+AG161</f>
        <v>368445</v>
      </c>
      <c r="G161" s="31">
        <v>0</v>
      </c>
      <c r="H161" s="31">
        <v>0</v>
      </c>
      <c r="I161" s="31">
        <v>0</v>
      </c>
      <c r="J161" s="31">
        <v>0</v>
      </c>
      <c r="K161" s="31">
        <v>0</v>
      </c>
      <c r="L161" s="31">
        <v>0</v>
      </c>
      <c r="M161" s="33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31">
        <v>157.6</v>
      </c>
      <c r="T161" s="31">
        <v>363000</v>
      </c>
      <c r="U161" s="31">
        <v>0</v>
      </c>
      <c r="V161" s="31">
        <v>0</v>
      </c>
      <c r="W161" s="31">
        <v>0</v>
      </c>
      <c r="X161" s="31">
        <v>0</v>
      </c>
      <c r="Y161" s="31">
        <v>0</v>
      </c>
      <c r="Z161" s="31">
        <v>0</v>
      </c>
      <c r="AA161" s="31">
        <v>0</v>
      </c>
      <c r="AB161" s="31">
        <v>0</v>
      </c>
      <c r="AC161" s="31">
        <v>0</v>
      </c>
      <c r="AD161" s="31">
        <v>0</v>
      </c>
      <c r="AE161" s="31">
        <f>ROUND(T161*1.5%,2)</f>
        <v>5445</v>
      </c>
      <c r="AF161" s="31">
        <v>0</v>
      </c>
      <c r="AG161" s="31">
        <v>0</v>
      </c>
      <c r="AH161" s="129" t="s">
        <v>274</v>
      </c>
      <c r="AI161" s="129">
        <v>2020</v>
      </c>
      <c r="AJ161" s="129">
        <v>2020</v>
      </c>
    </row>
    <row r="162" spans="1:36" ht="61.5" x14ac:dyDescent="0.85">
      <c r="A162" s="6">
        <v>1</v>
      </c>
      <c r="B162" s="66">
        <f>SUBTOTAL(103,$A$66:A162)</f>
        <v>86</v>
      </c>
      <c r="C162" s="131" t="s">
        <v>1551</v>
      </c>
      <c r="D162" s="89" t="s">
        <v>1444</v>
      </c>
      <c r="E162" s="69">
        <v>0.875</v>
      </c>
      <c r="F162" s="31">
        <f>G162+H162+I162+J162+K162+L162+N162+P162+R162+T162+V162+W162+X162+Y162+Z162+AA162+AB162+AC162+AD162+AE162+AF162+AG162</f>
        <v>57671.29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  <c r="M162" s="33">
        <v>0</v>
      </c>
      <c r="N162" s="31">
        <v>0</v>
      </c>
      <c r="O162" s="31">
        <v>508</v>
      </c>
      <c r="P162" s="31">
        <v>56819</v>
      </c>
      <c r="Q162" s="31">
        <v>0</v>
      </c>
      <c r="R162" s="31">
        <v>0</v>
      </c>
      <c r="S162" s="31">
        <v>0</v>
      </c>
      <c r="T162" s="31">
        <v>0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v>0</v>
      </c>
      <c r="AD162" s="31">
        <v>0</v>
      </c>
      <c r="AE162" s="31">
        <f>ROUND(P162*1.5%,2)</f>
        <v>852.29</v>
      </c>
      <c r="AF162" s="31">
        <v>0</v>
      </c>
      <c r="AG162" s="31">
        <v>0</v>
      </c>
      <c r="AH162" s="129" t="s">
        <v>274</v>
      </c>
      <c r="AI162" s="129">
        <v>2020</v>
      </c>
      <c r="AJ162" s="129">
        <v>2020</v>
      </c>
    </row>
    <row r="163" spans="1:36" ht="61.5" x14ac:dyDescent="0.85">
      <c r="B163" s="177" t="s">
        <v>895</v>
      </c>
      <c r="C163" s="131"/>
      <c r="D163" s="130" t="s">
        <v>916</v>
      </c>
      <c r="E163" s="69">
        <f>E164</f>
        <v>0.93430000000000002</v>
      </c>
      <c r="F163" s="31">
        <f>F164</f>
        <v>425208.96</v>
      </c>
      <c r="G163" s="31">
        <f t="shared" ref="G163:AG163" si="38">G164</f>
        <v>0</v>
      </c>
      <c r="H163" s="31">
        <f t="shared" si="38"/>
        <v>0</v>
      </c>
      <c r="I163" s="31">
        <f t="shared" si="38"/>
        <v>0</v>
      </c>
      <c r="J163" s="31">
        <f t="shared" si="38"/>
        <v>0</v>
      </c>
      <c r="K163" s="31">
        <f t="shared" si="38"/>
        <v>0</v>
      </c>
      <c r="L163" s="31">
        <f t="shared" si="38"/>
        <v>0</v>
      </c>
      <c r="M163" s="33">
        <f t="shared" si="38"/>
        <v>0</v>
      </c>
      <c r="N163" s="31">
        <f t="shared" si="38"/>
        <v>0</v>
      </c>
      <c r="O163" s="31">
        <f t="shared" si="38"/>
        <v>1223</v>
      </c>
      <c r="P163" s="31">
        <f t="shared" si="38"/>
        <v>425208.96</v>
      </c>
      <c r="Q163" s="31">
        <f t="shared" si="38"/>
        <v>0</v>
      </c>
      <c r="R163" s="31">
        <f t="shared" si="38"/>
        <v>0</v>
      </c>
      <c r="S163" s="31">
        <f t="shared" si="38"/>
        <v>0</v>
      </c>
      <c r="T163" s="31">
        <f t="shared" si="38"/>
        <v>0</v>
      </c>
      <c r="U163" s="31">
        <f t="shared" si="38"/>
        <v>0</v>
      </c>
      <c r="V163" s="31">
        <f t="shared" si="38"/>
        <v>0</v>
      </c>
      <c r="W163" s="31">
        <f t="shared" si="38"/>
        <v>0</v>
      </c>
      <c r="X163" s="31">
        <f t="shared" si="38"/>
        <v>0</v>
      </c>
      <c r="Y163" s="31">
        <f t="shared" si="38"/>
        <v>0</v>
      </c>
      <c r="Z163" s="31">
        <f t="shared" si="38"/>
        <v>0</v>
      </c>
      <c r="AA163" s="31">
        <f t="shared" si="38"/>
        <v>0</v>
      </c>
      <c r="AB163" s="31">
        <f t="shared" si="38"/>
        <v>0</v>
      </c>
      <c r="AC163" s="31">
        <f t="shared" si="38"/>
        <v>0</v>
      </c>
      <c r="AD163" s="31">
        <f t="shared" si="38"/>
        <v>0</v>
      </c>
      <c r="AE163" s="31">
        <f t="shared" si="38"/>
        <v>0</v>
      </c>
      <c r="AF163" s="31">
        <f t="shared" si="38"/>
        <v>0</v>
      </c>
      <c r="AG163" s="31">
        <f t="shared" si="38"/>
        <v>0</v>
      </c>
      <c r="AH163" s="129" t="s">
        <v>916</v>
      </c>
      <c r="AI163" s="129" t="s">
        <v>916</v>
      </c>
      <c r="AJ163" s="129" t="s">
        <v>916</v>
      </c>
    </row>
    <row r="164" spans="1:36" ht="61.5" x14ac:dyDescent="0.85">
      <c r="A164" s="6">
        <v>1</v>
      </c>
      <c r="B164" s="66">
        <f>SUBTOTAL(103,$A$66:A164)</f>
        <v>87</v>
      </c>
      <c r="C164" s="131" t="s">
        <v>1524</v>
      </c>
      <c r="D164" s="89" t="s">
        <v>1070</v>
      </c>
      <c r="E164" s="69">
        <v>0.93430000000000002</v>
      </c>
      <c r="F164" s="31">
        <f>G164+H164+I164+J164+K164+L164+N164+P164+R164+T164+V164+W164+X164+Y164+Z164+AA164+AB164+AC164+AD164+AE164+AF164+AG164</f>
        <v>425208.96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  <c r="M164" s="33">
        <v>0</v>
      </c>
      <c r="N164" s="31">
        <v>0</v>
      </c>
      <c r="O164" s="31">
        <v>1223</v>
      </c>
      <c r="P164" s="31">
        <v>425208.96</v>
      </c>
      <c r="Q164" s="31">
        <v>0</v>
      </c>
      <c r="R164" s="31">
        <v>0</v>
      </c>
      <c r="S164" s="31">
        <v>0</v>
      </c>
      <c r="T164" s="31">
        <v>0</v>
      </c>
      <c r="U164" s="31">
        <v>0</v>
      </c>
      <c r="V164" s="31">
        <v>0</v>
      </c>
      <c r="W164" s="31">
        <v>0</v>
      </c>
      <c r="X164" s="31">
        <v>0</v>
      </c>
      <c r="Y164" s="31">
        <v>0</v>
      </c>
      <c r="Z164" s="31">
        <v>0</v>
      </c>
      <c r="AA164" s="31">
        <v>0</v>
      </c>
      <c r="AB164" s="31">
        <v>0</v>
      </c>
      <c r="AC164" s="31">
        <v>0</v>
      </c>
      <c r="AD164" s="31">
        <v>0</v>
      </c>
      <c r="AE164" s="31">
        <v>0</v>
      </c>
      <c r="AF164" s="31">
        <v>0</v>
      </c>
      <c r="AG164" s="31">
        <v>0</v>
      </c>
      <c r="AH164" s="129" t="s">
        <v>274</v>
      </c>
      <c r="AI164" s="129">
        <v>2020</v>
      </c>
      <c r="AJ164" s="129" t="s">
        <v>274</v>
      </c>
    </row>
    <row r="165" spans="1:36" ht="61.5" x14ac:dyDescent="0.85">
      <c r="B165" s="177" t="s">
        <v>856</v>
      </c>
      <c r="C165" s="131"/>
      <c r="D165" s="130" t="s">
        <v>916</v>
      </c>
      <c r="E165" s="69">
        <f>E166</f>
        <v>0.96641898912086177</v>
      </c>
      <c r="F165" s="31">
        <f>F166</f>
        <v>354821.67</v>
      </c>
      <c r="G165" s="31">
        <f t="shared" ref="G165:AG165" si="39">G166</f>
        <v>0</v>
      </c>
      <c r="H165" s="31">
        <f t="shared" si="39"/>
        <v>0</v>
      </c>
      <c r="I165" s="31">
        <f t="shared" si="39"/>
        <v>0</v>
      </c>
      <c r="J165" s="31">
        <f t="shared" si="39"/>
        <v>0</v>
      </c>
      <c r="K165" s="31">
        <f t="shared" si="39"/>
        <v>0</v>
      </c>
      <c r="L165" s="31">
        <f t="shared" si="39"/>
        <v>0</v>
      </c>
      <c r="M165" s="33">
        <f t="shared" si="39"/>
        <v>0</v>
      </c>
      <c r="N165" s="31">
        <f t="shared" si="39"/>
        <v>0</v>
      </c>
      <c r="O165" s="31">
        <f t="shared" si="39"/>
        <v>729.8</v>
      </c>
      <c r="P165" s="31">
        <f t="shared" si="39"/>
        <v>349578</v>
      </c>
      <c r="Q165" s="31">
        <f t="shared" si="39"/>
        <v>0</v>
      </c>
      <c r="R165" s="31">
        <f t="shared" si="39"/>
        <v>0</v>
      </c>
      <c r="S165" s="31">
        <f t="shared" si="39"/>
        <v>0</v>
      </c>
      <c r="T165" s="31">
        <f t="shared" si="39"/>
        <v>0</v>
      </c>
      <c r="U165" s="31">
        <f t="shared" si="39"/>
        <v>0</v>
      </c>
      <c r="V165" s="31">
        <f t="shared" si="39"/>
        <v>0</v>
      </c>
      <c r="W165" s="31">
        <f t="shared" si="39"/>
        <v>0</v>
      </c>
      <c r="X165" s="31">
        <f t="shared" si="39"/>
        <v>0</v>
      </c>
      <c r="Y165" s="31">
        <f t="shared" si="39"/>
        <v>0</v>
      </c>
      <c r="Z165" s="31">
        <f t="shared" si="39"/>
        <v>0</v>
      </c>
      <c r="AA165" s="31">
        <f t="shared" si="39"/>
        <v>0</v>
      </c>
      <c r="AB165" s="31">
        <f t="shared" si="39"/>
        <v>0</v>
      </c>
      <c r="AC165" s="31">
        <f t="shared" si="39"/>
        <v>0</v>
      </c>
      <c r="AD165" s="31">
        <f t="shared" si="39"/>
        <v>0</v>
      </c>
      <c r="AE165" s="31">
        <f t="shared" si="39"/>
        <v>5243.67</v>
      </c>
      <c r="AF165" s="31">
        <f t="shared" si="39"/>
        <v>0</v>
      </c>
      <c r="AG165" s="31">
        <f t="shared" si="39"/>
        <v>0</v>
      </c>
      <c r="AH165" s="129" t="s">
        <v>916</v>
      </c>
      <c r="AI165" s="129" t="s">
        <v>916</v>
      </c>
      <c r="AJ165" s="129" t="s">
        <v>916</v>
      </c>
    </row>
    <row r="166" spans="1:36" ht="61.5" x14ac:dyDescent="0.85">
      <c r="A166" s="6">
        <v>1</v>
      </c>
      <c r="B166" s="66">
        <f>SUBTOTAL(103,$A$66:A166)</f>
        <v>88</v>
      </c>
      <c r="C166" s="131" t="s">
        <v>1525</v>
      </c>
      <c r="D166" s="130" t="s">
        <v>1068</v>
      </c>
      <c r="E166" s="69">
        <v>0.96641898912086177</v>
      </c>
      <c r="F166" s="31">
        <f>G166+H166+I166+J166+K166+L166+N166+P166+R166+T166+V166+W166+X166+Y166+Z166+AA166+AB166+AC166+AD166+AE166+AF166+AG166</f>
        <v>354821.67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  <c r="M166" s="33">
        <v>0</v>
      </c>
      <c r="N166" s="31">
        <v>0</v>
      </c>
      <c r="O166" s="31">
        <v>729.8</v>
      </c>
      <c r="P166" s="31">
        <v>349578</v>
      </c>
      <c r="Q166" s="31">
        <v>0</v>
      </c>
      <c r="R166" s="31">
        <v>0</v>
      </c>
      <c r="S166" s="31">
        <v>0</v>
      </c>
      <c r="T166" s="31">
        <v>0</v>
      </c>
      <c r="U166" s="31">
        <v>0</v>
      </c>
      <c r="V166" s="31">
        <v>0</v>
      </c>
      <c r="W166" s="31">
        <v>0</v>
      </c>
      <c r="X166" s="31">
        <v>0</v>
      </c>
      <c r="Y166" s="31">
        <v>0</v>
      </c>
      <c r="Z166" s="31">
        <v>0</v>
      </c>
      <c r="AA166" s="31">
        <v>0</v>
      </c>
      <c r="AB166" s="31">
        <v>0</v>
      </c>
      <c r="AC166" s="31">
        <v>0</v>
      </c>
      <c r="AD166" s="31">
        <v>0</v>
      </c>
      <c r="AE166" s="31">
        <f>ROUND(P166*1.5%,2)</f>
        <v>5243.67</v>
      </c>
      <c r="AF166" s="31">
        <v>0</v>
      </c>
      <c r="AG166" s="31">
        <v>0</v>
      </c>
      <c r="AH166" s="129" t="s">
        <v>274</v>
      </c>
      <c r="AI166" s="129">
        <v>2020</v>
      </c>
      <c r="AJ166" s="129">
        <v>2020</v>
      </c>
    </row>
    <row r="167" spans="1:36" ht="61.5" x14ac:dyDescent="0.85">
      <c r="B167" s="177" t="s">
        <v>1450</v>
      </c>
      <c r="C167" s="131"/>
      <c r="D167" s="130" t="s">
        <v>916</v>
      </c>
      <c r="E167" s="69">
        <f>AVERAGE(E168:E169)</f>
        <v>0.79569999999999996</v>
      </c>
      <c r="F167" s="31">
        <f>F168+F169</f>
        <v>1988549.43</v>
      </c>
      <c r="G167" s="31">
        <f t="shared" ref="G167:AF167" si="40">G168+G169</f>
        <v>0</v>
      </c>
      <c r="H167" s="31">
        <f t="shared" si="40"/>
        <v>0</v>
      </c>
      <c r="I167" s="31">
        <f t="shared" si="40"/>
        <v>0</v>
      </c>
      <c r="J167" s="31">
        <f t="shared" si="40"/>
        <v>0</v>
      </c>
      <c r="K167" s="31">
        <f t="shared" si="40"/>
        <v>0</v>
      </c>
      <c r="L167" s="31">
        <f t="shared" si="40"/>
        <v>0</v>
      </c>
      <c r="M167" s="33">
        <f t="shared" si="40"/>
        <v>0</v>
      </c>
      <c r="N167" s="31">
        <f t="shared" si="40"/>
        <v>0</v>
      </c>
      <c r="O167" s="31">
        <f t="shared" si="40"/>
        <v>4741.7</v>
      </c>
      <c r="P167" s="31">
        <f t="shared" si="40"/>
        <v>1959162</v>
      </c>
      <c r="Q167" s="31">
        <f t="shared" si="40"/>
        <v>0</v>
      </c>
      <c r="R167" s="31">
        <f t="shared" si="40"/>
        <v>0</v>
      </c>
      <c r="S167" s="31">
        <f t="shared" si="40"/>
        <v>0</v>
      </c>
      <c r="T167" s="31">
        <f t="shared" si="40"/>
        <v>0</v>
      </c>
      <c r="U167" s="31">
        <f t="shared" si="40"/>
        <v>0</v>
      </c>
      <c r="V167" s="31">
        <f t="shared" si="40"/>
        <v>0</v>
      </c>
      <c r="W167" s="31">
        <f t="shared" si="40"/>
        <v>0</v>
      </c>
      <c r="X167" s="31">
        <f t="shared" si="40"/>
        <v>0</v>
      </c>
      <c r="Y167" s="31">
        <f t="shared" si="40"/>
        <v>0</v>
      </c>
      <c r="Z167" s="31">
        <f t="shared" si="40"/>
        <v>0</v>
      </c>
      <c r="AA167" s="31">
        <f t="shared" si="40"/>
        <v>0</v>
      </c>
      <c r="AB167" s="31">
        <f t="shared" si="40"/>
        <v>0</v>
      </c>
      <c r="AC167" s="31">
        <f t="shared" si="40"/>
        <v>0</v>
      </c>
      <c r="AD167" s="31">
        <f t="shared" si="40"/>
        <v>0</v>
      </c>
      <c r="AE167" s="31">
        <f t="shared" si="40"/>
        <v>29387.43</v>
      </c>
      <c r="AF167" s="31">
        <f t="shared" si="40"/>
        <v>0</v>
      </c>
      <c r="AG167" s="31">
        <f>AG168+AG169</f>
        <v>0</v>
      </c>
      <c r="AH167" s="129" t="s">
        <v>916</v>
      </c>
      <c r="AI167" s="129" t="s">
        <v>916</v>
      </c>
      <c r="AJ167" s="129" t="s">
        <v>916</v>
      </c>
    </row>
    <row r="168" spans="1:36" ht="61.5" x14ac:dyDescent="0.85">
      <c r="A168" s="6">
        <v>1</v>
      </c>
      <c r="B168" s="66">
        <f>SUBTOTAL(103,$A$66:A168)</f>
        <v>89</v>
      </c>
      <c r="C168" s="131" t="s">
        <v>1526</v>
      </c>
      <c r="D168" s="72" t="s">
        <v>1438</v>
      </c>
      <c r="E168" s="69">
        <v>0.87239999999999995</v>
      </c>
      <c r="F168" s="31">
        <f>G168+H168+I168+J168+K168+L168+N168+P168+R168+T168+V168+W168+X168+Y168+Z168+AA168+AB168+AC168+AD168+AE168+AF168+AG168</f>
        <v>83534.5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3">
        <v>0</v>
      </c>
      <c r="N168" s="31">
        <v>0</v>
      </c>
      <c r="O168" s="31">
        <v>2780.7</v>
      </c>
      <c r="P168" s="31">
        <v>82300</v>
      </c>
      <c r="Q168" s="31">
        <v>0</v>
      </c>
      <c r="R168" s="31">
        <v>0</v>
      </c>
      <c r="S168" s="31">
        <v>0</v>
      </c>
      <c r="T168" s="31">
        <v>0</v>
      </c>
      <c r="U168" s="31">
        <v>0</v>
      </c>
      <c r="V168" s="31">
        <v>0</v>
      </c>
      <c r="W168" s="31">
        <v>0</v>
      </c>
      <c r="X168" s="31">
        <v>0</v>
      </c>
      <c r="Y168" s="31">
        <v>0</v>
      </c>
      <c r="Z168" s="31">
        <v>0</v>
      </c>
      <c r="AA168" s="31">
        <v>0</v>
      </c>
      <c r="AB168" s="31">
        <v>0</v>
      </c>
      <c r="AC168" s="31">
        <v>0</v>
      </c>
      <c r="AD168" s="31">
        <v>0</v>
      </c>
      <c r="AE168" s="31">
        <f>ROUND(P168*1.5%,2)</f>
        <v>1234.5</v>
      </c>
      <c r="AF168" s="31">
        <v>0</v>
      </c>
      <c r="AG168" s="31">
        <v>0</v>
      </c>
      <c r="AH168" s="129" t="s">
        <v>274</v>
      </c>
      <c r="AI168" s="129">
        <v>2020</v>
      </c>
      <c r="AJ168" s="129">
        <v>2020</v>
      </c>
    </row>
    <row r="169" spans="1:36" ht="61.5" x14ac:dyDescent="0.85">
      <c r="A169" s="6">
        <v>1</v>
      </c>
      <c r="B169" s="66">
        <f>SUBTOTAL(103,$A$66:A169)</f>
        <v>90</v>
      </c>
      <c r="C169" s="131" t="s">
        <v>1527</v>
      </c>
      <c r="D169" s="72" t="s">
        <v>1069</v>
      </c>
      <c r="E169" s="69">
        <v>0.71899999999999997</v>
      </c>
      <c r="F169" s="31">
        <f>G169+H169+I169+J169+K169+L169+N169+P169+R169+T169+V169+W169+X169+Y169+Z169+AA169+AB169+AC169+AD169+AE169+AF169+AG169</f>
        <v>1905014.93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  <c r="M169" s="33">
        <v>0</v>
      </c>
      <c r="N169" s="31">
        <v>0</v>
      </c>
      <c r="O169" s="31">
        <v>1961</v>
      </c>
      <c r="P169" s="31">
        <v>1876862</v>
      </c>
      <c r="Q169" s="31">
        <v>0</v>
      </c>
      <c r="R169" s="31">
        <v>0</v>
      </c>
      <c r="S169" s="31">
        <v>0</v>
      </c>
      <c r="T169" s="31">
        <v>0</v>
      </c>
      <c r="U169" s="31">
        <v>0</v>
      </c>
      <c r="V169" s="31">
        <v>0</v>
      </c>
      <c r="W169" s="31">
        <v>0</v>
      </c>
      <c r="X169" s="31">
        <v>0</v>
      </c>
      <c r="Y169" s="31">
        <v>0</v>
      </c>
      <c r="Z169" s="31">
        <v>0</v>
      </c>
      <c r="AA169" s="31">
        <v>0</v>
      </c>
      <c r="AB169" s="31">
        <v>0</v>
      </c>
      <c r="AC169" s="31">
        <v>0</v>
      </c>
      <c r="AD169" s="31">
        <v>0</v>
      </c>
      <c r="AE169" s="31">
        <f>ROUND(P169*1.5%,2)</f>
        <v>28152.93</v>
      </c>
      <c r="AF169" s="31">
        <v>0</v>
      </c>
      <c r="AG169" s="31">
        <v>0</v>
      </c>
      <c r="AH169" s="129" t="s">
        <v>274</v>
      </c>
      <c r="AI169" s="129">
        <v>2020</v>
      </c>
      <c r="AJ169" s="129">
        <v>2020</v>
      </c>
    </row>
    <row r="170" spans="1:36" ht="61.5" x14ac:dyDescent="0.85">
      <c r="B170" s="177" t="s">
        <v>909</v>
      </c>
      <c r="C170" s="131"/>
      <c r="D170" s="130" t="s">
        <v>916</v>
      </c>
      <c r="E170" s="69">
        <f>AVERAGE(E171:E172)</f>
        <v>0.85729999999999995</v>
      </c>
      <c r="F170" s="31">
        <f>F171+F172</f>
        <v>582142.44999999995</v>
      </c>
      <c r="G170" s="31">
        <f t="shared" ref="G170:AG170" si="41">G171+G172</f>
        <v>0</v>
      </c>
      <c r="H170" s="31">
        <f t="shared" si="41"/>
        <v>0</v>
      </c>
      <c r="I170" s="31">
        <f t="shared" si="41"/>
        <v>0</v>
      </c>
      <c r="J170" s="31">
        <f t="shared" si="41"/>
        <v>0</v>
      </c>
      <c r="K170" s="31">
        <f t="shared" si="41"/>
        <v>0</v>
      </c>
      <c r="L170" s="31">
        <f t="shared" si="41"/>
        <v>0</v>
      </c>
      <c r="M170" s="33">
        <f t="shared" si="41"/>
        <v>0</v>
      </c>
      <c r="N170" s="31">
        <f t="shared" si="41"/>
        <v>0</v>
      </c>
      <c r="O170" s="31">
        <f t="shared" si="41"/>
        <v>1452.8</v>
      </c>
      <c r="P170" s="31">
        <f t="shared" si="41"/>
        <v>573539.36</v>
      </c>
      <c r="Q170" s="31">
        <f t="shared" si="41"/>
        <v>0</v>
      </c>
      <c r="R170" s="31">
        <f t="shared" si="41"/>
        <v>0</v>
      </c>
      <c r="S170" s="31">
        <f t="shared" si="41"/>
        <v>0</v>
      </c>
      <c r="T170" s="31">
        <f t="shared" si="41"/>
        <v>0</v>
      </c>
      <c r="U170" s="31">
        <f t="shared" si="41"/>
        <v>0</v>
      </c>
      <c r="V170" s="31">
        <f t="shared" si="41"/>
        <v>0</v>
      </c>
      <c r="W170" s="31">
        <f t="shared" si="41"/>
        <v>0</v>
      </c>
      <c r="X170" s="31">
        <f t="shared" si="41"/>
        <v>0</v>
      </c>
      <c r="Y170" s="31">
        <f t="shared" si="41"/>
        <v>0</v>
      </c>
      <c r="Z170" s="31">
        <f t="shared" si="41"/>
        <v>0</v>
      </c>
      <c r="AA170" s="31">
        <f t="shared" si="41"/>
        <v>0</v>
      </c>
      <c r="AB170" s="31">
        <f t="shared" si="41"/>
        <v>0</v>
      </c>
      <c r="AC170" s="31">
        <f t="shared" si="41"/>
        <v>0</v>
      </c>
      <c r="AD170" s="31">
        <f t="shared" si="41"/>
        <v>0</v>
      </c>
      <c r="AE170" s="31">
        <f t="shared" si="41"/>
        <v>8603.09</v>
      </c>
      <c r="AF170" s="31">
        <f t="shared" si="41"/>
        <v>0</v>
      </c>
      <c r="AG170" s="31">
        <f t="shared" si="41"/>
        <v>0</v>
      </c>
      <c r="AH170" s="129" t="s">
        <v>916</v>
      </c>
      <c r="AI170" s="129" t="s">
        <v>916</v>
      </c>
      <c r="AJ170" s="129" t="s">
        <v>916</v>
      </c>
    </row>
    <row r="171" spans="1:36" ht="61.5" x14ac:dyDescent="0.85">
      <c r="A171" s="6">
        <v>1</v>
      </c>
      <c r="B171" s="66">
        <f>SUBTOTAL(103,$A$66:A171)</f>
        <v>91</v>
      </c>
      <c r="C171" s="131" t="s">
        <v>1528</v>
      </c>
      <c r="D171" s="72" t="s">
        <v>1067</v>
      </c>
      <c r="E171" s="69">
        <v>0.75539999999999996</v>
      </c>
      <c r="F171" s="31">
        <f>G171+H171+I171+J171+K171+L171+N171+P171+R171+T171+V171+W171+X171+Y171+Z171+AA171+AB171+AC171+AD171+AE171+AF171+AG171</f>
        <v>551387.0199999999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3">
        <v>0</v>
      </c>
      <c r="N171" s="31">
        <v>0</v>
      </c>
      <c r="O171" s="31">
        <v>749</v>
      </c>
      <c r="P171" s="31">
        <v>543238.43999999994</v>
      </c>
      <c r="Q171" s="31">
        <v>0</v>
      </c>
      <c r="R171" s="31">
        <v>0</v>
      </c>
      <c r="S171" s="31">
        <v>0</v>
      </c>
      <c r="T171" s="31">
        <v>0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v>0</v>
      </c>
      <c r="AD171" s="31">
        <v>0</v>
      </c>
      <c r="AE171" s="31">
        <f>ROUND(P171*1.5%,2)</f>
        <v>8148.58</v>
      </c>
      <c r="AF171" s="31">
        <v>0</v>
      </c>
      <c r="AG171" s="31">
        <v>0</v>
      </c>
      <c r="AH171" s="129" t="s">
        <v>274</v>
      </c>
      <c r="AI171" s="129">
        <v>2020</v>
      </c>
      <c r="AJ171" s="129">
        <v>2020</v>
      </c>
    </row>
    <row r="172" spans="1:36" ht="61.5" x14ac:dyDescent="0.85">
      <c r="A172" s="6">
        <v>1</v>
      </c>
      <c r="B172" s="66">
        <f>SUBTOTAL(103,$A$66:A172)</f>
        <v>92</v>
      </c>
      <c r="C172" s="131" t="s">
        <v>1529</v>
      </c>
      <c r="D172" s="72" t="s">
        <v>1072</v>
      </c>
      <c r="E172" s="69">
        <v>0.95920000000000005</v>
      </c>
      <c r="F172" s="31">
        <f>G172+H172+I172+J172+K172+L172+N172+P172+R172+T172+V172+W172+X172+Y172+Z172+AA172+AB172+AC172+AD172+AE172+AF172+AG172</f>
        <v>30755.429999999997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3">
        <v>0</v>
      </c>
      <c r="N172" s="31">
        <v>0</v>
      </c>
      <c r="O172" s="31">
        <v>703.8</v>
      </c>
      <c r="P172" s="31">
        <v>30300.92</v>
      </c>
      <c r="Q172" s="31">
        <v>0</v>
      </c>
      <c r="R172" s="31">
        <v>0</v>
      </c>
      <c r="S172" s="31">
        <v>0</v>
      </c>
      <c r="T172" s="31">
        <v>0</v>
      </c>
      <c r="U172" s="31">
        <v>0</v>
      </c>
      <c r="V172" s="31">
        <v>0</v>
      </c>
      <c r="W172" s="31">
        <v>0</v>
      </c>
      <c r="X172" s="31">
        <v>0</v>
      </c>
      <c r="Y172" s="31">
        <v>0</v>
      </c>
      <c r="Z172" s="31">
        <v>0</v>
      </c>
      <c r="AA172" s="31">
        <v>0</v>
      </c>
      <c r="AB172" s="31">
        <v>0</v>
      </c>
      <c r="AC172" s="31">
        <v>0</v>
      </c>
      <c r="AD172" s="31">
        <v>0</v>
      </c>
      <c r="AE172" s="31">
        <f>ROUND(P172*1.5%,2)</f>
        <v>454.51</v>
      </c>
      <c r="AF172" s="31">
        <v>0</v>
      </c>
      <c r="AG172" s="31">
        <v>0</v>
      </c>
      <c r="AH172" s="129" t="s">
        <v>274</v>
      </c>
      <c r="AI172" s="129">
        <v>2020</v>
      </c>
      <c r="AJ172" s="129">
        <v>2020</v>
      </c>
    </row>
    <row r="173" spans="1:36" ht="61.5" x14ac:dyDescent="0.85">
      <c r="B173" s="177" t="s">
        <v>882</v>
      </c>
      <c r="C173" s="131"/>
      <c r="D173" s="130" t="s">
        <v>916</v>
      </c>
      <c r="E173" s="69">
        <f>E174</f>
        <v>0.95309999999999995</v>
      </c>
      <c r="F173" s="31">
        <f>F174</f>
        <v>39585</v>
      </c>
      <c r="G173" s="31">
        <f t="shared" ref="G173:AG173" si="42">G174</f>
        <v>0</v>
      </c>
      <c r="H173" s="31">
        <f t="shared" si="42"/>
        <v>0</v>
      </c>
      <c r="I173" s="31">
        <f t="shared" si="42"/>
        <v>0</v>
      </c>
      <c r="J173" s="31">
        <f t="shared" si="42"/>
        <v>0</v>
      </c>
      <c r="K173" s="31">
        <f t="shared" si="42"/>
        <v>0</v>
      </c>
      <c r="L173" s="31">
        <f t="shared" si="42"/>
        <v>0</v>
      </c>
      <c r="M173" s="33">
        <f t="shared" si="42"/>
        <v>0</v>
      </c>
      <c r="N173" s="31">
        <f t="shared" si="42"/>
        <v>0</v>
      </c>
      <c r="O173" s="31">
        <f t="shared" si="42"/>
        <v>544</v>
      </c>
      <c r="P173" s="31">
        <f t="shared" si="42"/>
        <v>39000</v>
      </c>
      <c r="Q173" s="31">
        <f t="shared" si="42"/>
        <v>0</v>
      </c>
      <c r="R173" s="31">
        <f t="shared" si="42"/>
        <v>0</v>
      </c>
      <c r="S173" s="31">
        <f t="shared" si="42"/>
        <v>0</v>
      </c>
      <c r="T173" s="31">
        <f t="shared" si="42"/>
        <v>0</v>
      </c>
      <c r="U173" s="31">
        <f t="shared" si="42"/>
        <v>0</v>
      </c>
      <c r="V173" s="31">
        <f t="shared" si="42"/>
        <v>0</v>
      </c>
      <c r="W173" s="31">
        <f t="shared" si="42"/>
        <v>0</v>
      </c>
      <c r="X173" s="31">
        <f t="shared" si="42"/>
        <v>0</v>
      </c>
      <c r="Y173" s="31">
        <f t="shared" si="42"/>
        <v>0</v>
      </c>
      <c r="Z173" s="31">
        <f t="shared" si="42"/>
        <v>0</v>
      </c>
      <c r="AA173" s="31">
        <f t="shared" si="42"/>
        <v>0</v>
      </c>
      <c r="AB173" s="31">
        <f t="shared" si="42"/>
        <v>0</v>
      </c>
      <c r="AC173" s="31">
        <f t="shared" si="42"/>
        <v>0</v>
      </c>
      <c r="AD173" s="31">
        <f t="shared" si="42"/>
        <v>0</v>
      </c>
      <c r="AE173" s="31">
        <f t="shared" si="42"/>
        <v>585</v>
      </c>
      <c r="AF173" s="31">
        <f t="shared" si="42"/>
        <v>0</v>
      </c>
      <c r="AG173" s="31">
        <f t="shared" si="42"/>
        <v>0</v>
      </c>
      <c r="AH173" s="129" t="s">
        <v>916</v>
      </c>
      <c r="AI173" s="129" t="s">
        <v>916</v>
      </c>
      <c r="AJ173" s="129" t="s">
        <v>916</v>
      </c>
    </row>
    <row r="174" spans="1:36" ht="61.5" x14ac:dyDescent="0.85">
      <c r="A174" s="6">
        <v>1</v>
      </c>
      <c r="B174" s="66">
        <f>SUBTOTAL(103,$A$66:A174)</f>
        <v>93</v>
      </c>
      <c r="C174" s="131" t="s">
        <v>1530</v>
      </c>
      <c r="D174" s="72" t="s">
        <v>1069</v>
      </c>
      <c r="E174" s="69">
        <v>0.95309999999999995</v>
      </c>
      <c r="F174" s="31">
        <f>G174+H174+I174+J174+K174+L174+N174+P174+R174+T174+V174+W174+X174+Y174+Z174+AA174+AB174+AC174+AD174+AE174+AF174+AG174</f>
        <v>39585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  <c r="M174" s="33">
        <v>0</v>
      </c>
      <c r="N174" s="31">
        <v>0</v>
      </c>
      <c r="O174" s="31">
        <v>544</v>
      </c>
      <c r="P174" s="31">
        <v>39000</v>
      </c>
      <c r="Q174" s="31">
        <v>0</v>
      </c>
      <c r="R174" s="31">
        <v>0</v>
      </c>
      <c r="S174" s="31">
        <v>0</v>
      </c>
      <c r="T174" s="31">
        <v>0</v>
      </c>
      <c r="U174" s="31">
        <v>0</v>
      </c>
      <c r="V174" s="31">
        <v>0</v>
      </c>
      <c r="W174" s="31">
        <v>0</v>
      </c>
      <c r="X174" s="31">
        <v>0</v>
      </c>
      <c r="Y174" s="31">
        <v>0</v>
      </c>
      <c r="Z174" s="31">
        <v>0</v>
      </c>
      <c r="AA174" s="31">
        <v>0</v>
      </c>
      <c r="AB174" s="31">
        <v>0</v>
      </c>
      <c r="AC174" s="31">
        <v>0</v>
      </c>
      <c r="AD174" s="31">
        <v>0</v>
      </c>
      <c r="AE174" s="31">
        <f>ROUND(P174*1.5%,2)</f>
        <v>585</v>
      </c>
      <c r="AF174" s="31">
        <v>0</v>
      </c>
      <c r="AG174" s="31">
        <v>0</v>
      </c>
      <c r="AH174" s="129" t="s">
        <v>274</v>
      </c>
      <c r="AI174" s="129">
        <v>2020</v>
      </c>
      <c r="AJ174" s="129">
        <v>2020</v>
      </c>
    </row>
    <row r="175" spans="1:36" ht="61.5" x14ac:dyDescent="0.85">
      <c r="B175" s="177" t="s">
        <v>850</v>
      </c>
      <c r="C175" s="131"/>
      <c r="D175" s="130" t="s">
        <v>916</v>
      </c>
      <c r="E175" s="69">
        <f>E176</f>
        <v>0.81220000000000003</v>
      </c>
      <c r="F175" s="31">
        <f>F176</f>
        <v>275468.56</v>
      </c>
      <c r="G175" s="31">
        <f t="shared" ref="G175:AG175" si="43">G176</f>
        <v>0</v>
      </c>
      <c r="H175" s="31">
        <f t="shared" si="43"/>
        <v>0</v>
      </c>
      <c r="I175" s="31">
        <f t="shared" si="43"/>
        <v>0</v>
      </c>
      <c r="J175" s="31">
        <f t="shared" si="43"/>
        <v>0</v>
      </c>
      <c r="K175" s="31">
        <f t="shared" si="43"/>
        <v>0</v>
      </c>
      <c r="L175" s="31">
        <f t="shared" si="43"/>
        <v>0</v>
      </c>
      <c r="M175" s="33">
        <f t="shared" si="43"/>
        <v>0</v>
      </c>
      <c r="N175" s="31">
        <f t="shared" si="43"/>
        <v>0</v>
      </c>
      <c r="O175" s="31">
        <f t="shared" si="43"/>
        <v>708</v>
      </c>
      <c r="P175" s="31">
        <f t="shared" si="43"/>
        <v>271397.59999999998</v>
      </c>
      <c r="Q175" s="31">
        <f t="shared" si="43"/>
        <v>0</v>
      </c>
      <c r="R175" s="31">
        <f t="shared" si="43"/>
        <v>0</v>
      </c>
      <c r="S175" s="31">
        <f t="shared" si="43"/>
        <v>0</v>
      </c>
      <c r="T175" s="31">
        <f t="shared" si="43"/>
        <v>0</v>
      </c>
      <c r="U175" s="31">
        <f t="shared" si="43"/>
        <v>0</v>
      </c>
      <c r="V175" s="31">
        <f t="shared" si="43"/>
        <v>0</v>
      </c>
      <c r="W175" s="31">
        <f t="shared" si="43"/>
        <v>0</v>
      </c>
      <c r="X175" s="31">
        <f t="shared" si="43"/>
        <v>0</v>
      </c>
      <c r="Y175" s="31">
        <f t="shared" si="43"/>
        <v>0</v>
      </c>
      <c r="Z175" s="31">
        <f t="shared" si="43"/>
        <v>0</v>
      </c>
      <c r="AA175" s="31">
        <f t="shared" si="43"/>
        <v>0</v>
      </c>
      <c r="AB175" s="31">
        <f t="shared" si="43"/>
        <v>0</v>
      </c>
      <c r="AC175" s="31">
        <f t="shared" si="43"/>
        <v>0</v>
      </c>
      <c r="AD175" s="31">
        <f t="shared" si="43"/>
        <v>0</v>
      </c>
      <c r="AE175" s="31">
        <f t="shared" si="43"/>
        <v>4070.96</v>
      </c>
      <c r="AF175" s="31">
        <f t="shared" si="43"/>
        <v>0</v>
      </c>
      <c r="AG175" s="31">
        <f t="shared" si="43"/>
        <v>0</v>
      </c>
      <c r="AH175" s="129" t="s">
        <v>916</v>
      </c>
      <c r="AI175" s="129" t="s">
        <v>916</v>
      </c>
      <c r="AJ175" s="129" t="s">
        <v>916</v>
      </c>
    </row>
    <row r="176" spans="1:36" ht="61.5" x14ac:dyDescent="0.85">
      <c r="A176" s="6">
        <v>1</v>
      </c>
      <c r="B176" s="66">
        <f>SUBTOTAL(103,$A$66:A176)</f>
        <v>94</v>
      </c>
      <c r="C176" s="131" t="s">
        <v>1531</v>
      </c>
      <c r="D176" s="72" t="s">
        <v>1066</v>
      </c>
      <c r="E176" s="69">
        <v>0.81220000000000003</v>
      </c>
      <c r="F176" s="31">
        <f>G176+H176+I176+J176+K176+L176+N176+P176+R176+T176+V176+W176+X176+Y176+Z176+AA176+AB176+AC176+AD176+AE176+AF176+AG176</f>
        <v>275468.56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33">
        <v>0</v>
      </c>
      <c r="N176" s="31">
        <v>0</v>
      </c>
      <c r="O176" s="31">
        <v>708</v>
      </c>
      <c r="P176" s="31">
        <v>271397.59999999998</v>
      </c>
      <c r="Q176" s="31">
        <v>0</v>
      </c>
      <c r="R176" s="31">
        <v>0</v>
      </c>
      <c r="S176" s="31">
        <v>0</v>
      </c>
      <c r="T176" s="31">
        <v>0</v>
      </c>
      <c r="U176" s="31">
        <v>0</v>
      </c>
      <c r="V176" s="31">
        <v>0</v>
      </c>
      <c r="W176" s="31">
        <v>0</v>
      </c>
      <c r="X176" s="31">
        <v>0</v>
      </c>
      <c r="Y176" s="31">
        <v>0</v>
      </c>
      <c r="Z176" s="31">
        <v>0</v>
      </c>
      <c r="AA176" s="31">
        <v>0</v>
      </c>
      <c r="AB176" s="31">
        <v>0</v>
      </c>
      <c r="AC176" s="31">
        <v>0</v>
      </c>
      <c r="AD176" s="31">
        <v>0</v>
      </c>
      <c r="AE176" s="31">
        <f>ROUND(P176*1.5%,2)</f>
        <v>4070.96</v>
      </c>
      <c r="AF176" s="31">
        <v>0</v>
      </c>
      <c r="AG176" s="31">
        <v>0</v>
      </c>
      <c r="AH176" s="129" t="s">
        <v>274</v>
      </c>
      <c r="AI176" s="129">
        <v>2020</v>
      </c>
      <c r="AJ176" s="129">
        <v>2020</v>
      </c>
    </row>
    <row r="177" spans="1:36" ht="61.5" x14ac:dyDescent="0.85">
      <c r="B177" s="177" t="s">
        <v>877</v>
      </c>
      <c r="C177" s="131"/>
      <c r="D177" s="130" t="s">
        <v>916</v>
      </c>
      <c r="E177" s="69">
        <f>AVERAGE(E178:E180)</f>
        <v>0.91273333333333329</v>
      </c>
      <c r="F177" s="31">
        <f>F178+F179+F180</f>
        <v>274179.65000000002</v>
      </c>
      <c r="G177" s="31">
        <f t="shared" ref="G177:AG177" si="44">G178+G179+G180</f>
        <v>0</v>
      </c>
      <c r="H177" s="31">
        <f t="shared" si="44"/>
        <v>0</v>
      </c>
      <c r="I177" s="31">
        <f t="shared" si="44"/>
        <v>175721.62</v>
      </c>
      <c r="J177" s="31">
        <f t="shared" si="44"/>
        <v>0</v>
      </c>
      <c r="K177" s="31">
        <f t="shared" si="44"/>
        <v>0</v>
      </c>
      <c r="L177" s="31">
        <f t="shared" si="44"/>
        <v>0</v>
      </c>
      <c r="M177" s="33">
        <f t="shared" si="44"/>
        <v>0</v>
      </c>
      <c r="N177" s="31">
        <f t="shared" si="44"/>
        <v>0</v>
      </c>
      <c r="O177" s="31">
        <f t="shared" si="44"/>
        <v>1779.9</v>
      </c>
      <c r="P177" s="31">
        <f t="shared" si="44"/>
        <v>94406.12000000001</v>
      </c>
      <c r="Q177" s="31">
        <f t="shared" si="44"/>
        <v>0</v>
      </c>
      <c r="R177" s="31">
        <f t="shared" si="44"/>
        <v>0</v>
      </c>
      <c r="S177" s="31">
        <f t="shared" si="44"/>
        <v>0</v>
      </c>
      <c r="T177" s="31">
        <f t="shared" si="44"/>
        <v>0</v>
      </c>
      <c r="U177" s="31">
        <f t="shared" si="44"/>
        <v>0</v>
      </c>
      <c r="V177" s="31">
        <f t="shared" si="44"/>
        <v>0</v>
      </c>
      <c r="W177" s="31">
        <f t="shared" si="44"/>
        <v>0</v>
      </c>
      <c r="X177" s="31">
        <f t="shared" si="44"/>
        <v>0</v>
      </c>
      <c r="Y177" s="31">
        <f t="shared" si="44"/>
        <v>0</v>
      </c>
      <c r="Z177" s="31">
        <f t="shared" si="44"/>
        <v>0</v>
      </c>
      <c r="AA177" s="31">
        <f t="shared" si="44"/>
        <v>0</v>
      </c>
      <c r="AB177" s="31">
        <f t="shared" si="44"/>
        <v>0</v>
      </c>
      <c r="AC177" s="31">
        <f t="shared" si="44"/>
        <v>0</v>
      </c>
      <c r="AD177" s="31">
        <f t="shared" si="44"/>
        <v>0</v>
      </c>
      <c r="AE177" s="31">
        <f t="shared" si="44"/>
        <v>4051.91</v>
      </c>
      <c r="AF177" s="31">
        <f t="shared" si="44"/>
        <v>0</v>
      </c>
      <c r="AG177" s="31">
        <f t="shared" si="44"/>
        <v>0</v>
      </c>
      <c r="AH177" s="129" t="s">
        <v>916</v>
      </c>
      <c r="AI177" s="129" t="s">
        <v>916</v>
      </c>
      <c r="AJ177" s="129" t="s">
        <v>916</v>
      </c>
    </row>
    <row r="178" spans="1:36" ht="61.5" x14ac:dyDescent="0.85">
      <c r="A178" s="6">
        <v>1</v>
      </c>
      <c r="B178" s="66">
        <f>SUBTOTAL(103,$A$66:A178)</f>
        <v>95</v>
      </c>
      <c r="C178" s="131" t="s">
        <v>1532</v>
      </c>
      <c r="D178" s="130" t="s">
        <v>1444</v>
      </c>
      <c r="E178" s="69">
        <v>0.96160000000000001</v>
      </c>
      <c r="F178" s="31">
        <f>G178+H178+I178+J178+K178+L178+N178+P178+R178+T178+V178+W178+X178+Y178+Z178+AA178+AB178+AC178+AD178+AE178+AF178+AG178</f>
        <v>82303.180000000008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3">
        <v>0</v>
      </c>
      <c r="N178" s="31">
        <v>0</v>
      </c>
      <c r="O178" s="31">
        <v>1245.4000000000001</v>
      </c>
      <c r="P178" s="31">
        <v>81086.880000000005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31">
        <v>0</v>
      </c>
      <c r="W178" s="31">
        <v>0</v>
      </c>
      <c r="X178" s="31">
        <v>0</v>
      </c>
      <c r="Y178" s="31">
        <v>0</v>
      </c>
      <c r="Z178" s="31">
        <v>0</v>
      </c>
      <c r="AA178" s="31">
        <v>0</v>
      </c>
      <c r="AB178" s="31">
        <v>0</v>
      </c>
      <c r="AC178" s="31">
        <v>0</v>
      </c>
      <c r="AD178" s="31">
        <v>0</v>
      </c>
      <c r="AE178" s="31">
        <f>ROUND(P178*1.5%,2)</f>
        <v>1216.3</v>
      </c>
      <c r="AF178" s="31">
        <v>0</v>
      </c>
      <c r="AG178" s="31">
        <v>0</v>
      </c>
      <c r="AH178" s="129" t="s">
        <v>274</v>
      </c>
      <c r="AI178" s="129">
        <v>2020</v>
      </c>
      <c r="AJ178" s="129">
        <v>2020</v>
      </c>
    </row>
    <row r="179" spans="1:36" ht="61.5" x14ac:dyDescent="0.85">
      <c r="A179" s="6">
        <v>1</v>
      </c>
      <c r="B179" s="66">
        <f>SUBTOTAL(103,$A$66:A179)</f>
        <v>96</v>
      </c>
      <c r="C179" s="131" t="s">
        <v>1533</v>
      </c>
      <c r="D179" s="130" t="s">
        <v>1066</v>
      </c>
      <c r="E179" s="69">
        <v>0.92120000000000002</v>
      </c>
      <c r="F179" s="31">
        <f>G179+H179+I179+J179+K179+L179+N179+P179+R179+T179+V179+W179+X179+Y179+Z179+AA179+AB179+AC179+AD179+AE179+AF179+AG179</f>
        <v>13519.03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3">
        <v>0</v>
      </c>
      <c r="N179" s="31">
        <v>0</v>
      </c>
      <c r="O179" s="31">
        <v>534.5</v>
      </c>
      <c r="P179" s="31">
        <v>13319.24</v>
      </c>
      <c r="Q179" s="31">
        <v>0</v>
      </c>
      <c r="R179" s="31">
        <v>0</v>
      </c>
      <c r="S179" s="31">
        <v>0</v>
      </c>
      <c r="T179" s="31">
        <v>0</v>
      </c>
      <c r="U179" s="31">
        <v>0</v>
      </c>
      <c r="V179" s="31">
        <v>0</v>
      </c>
      <c r="W179" s="31">
        <v>0</v>
      </c>
      <c r="X179" s="31">
        <v>0</v>
      </c>
      <c r="Y179" s="31">
        <v>0</v>
      </c>
      <c r="Z179" s="31">
        <v>0</v>
      </c>
      <c r="AA179" s="31">
        <v>0</v>
      </c>
      <c r="AB179" s="31">
        <v>0</v>
      </c>
      <c r="AC179" s="31">
        <v>0</v>
      </c>
      <c r="AD179" s="31">
        <v>0</v>
      </c>
      <c r="AE179" s="31">
        <f>ROUND(P179*1.5%,2)</f>
        <v>199.79</v>
      </c>
      <c r="AF179" s="31">
        <v>0</v>
      </c>
      <c r="AG179" s="31">
        <v>0</v>
      </c>
      <c r="AH179" s="129" t="s">
        <v>274</v>
      </c>
      <c r="AI179" s="129">
        <v>2020</v>
      </c>
      <c r="AJ179" s="129">
        <v>2020</v>
      </c>
    </row>
    <row r="180" spans="1:36" ht="61.5" x14ac:dyDescent="0.85">
      <c r="A180" s="6">
        <v>1</v>
      </c>
      <c r="B180" s="66">
        <f>SUBTOTAL(103,$A$66:A180)</f>
        <v>97</v>
      </c>
      <c r="C180" s="131" t="s">
        <v>1534</v>
      </c>
      <c r="D180" s="130" t="s">
        <v>1066</v>
      </c>
      <c r="E180" s="69">
        <v>0.85540000000000005</v>
      </c>
      <c r="F180" s="31">
        <f>G180+H180+I180+J180+K180+L180+N180+P180+R180+T180+V180+W180+X180+Y180+Z180+AA180+AB180+AC180+AD180+AE180+AF180+AG180</f>
        <v>178357.44</v>
      </c>
      <c r="G180" s="31">
        <v>0</v>
      </c>
      <c r="H180" s="31">
        <v>0</v>
      </c>
      <c r="I180" s="31">
        <v>175721.62</v>
      </c>
      <c r="J180" s="31">
        <v>0</v>
      </c>
      <c r="K180" s="31">
        <v>0</v>
      </c>
      <c r="L180" s="31">
        <v>0</v>
      </c>
      <c r="M180" s="33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31">
        <v>0</v>
      </c>
      <c r="T180" s="31">
        <v>0</v>
      </c>
      <c r="U180" s="31">
        <v>0</v>
      </c>
      <c r="V180" s="31">
        <v>0</v>
      </c>
      <c r="W180" s="31">
        <v>0</v>
      </c>
      <c r="X180" s="31">
        <v>0</v>
      </c>
      <c r="Y180" s="31">
        <v>0</v>
      </c>
      <c r="Z180" s="31">
        <v>0</v>
      </c>
      <c r="AA180" s="31">
        <v>0</v>
      </c>
      <c r="AB180" s="31">
        <v>0</v>
      </c>
      <c r="AC180" s="31">
        <v>0</v>
      </c>
      <c r="AD180" s="31">
        <v>0</v>
      </c>
      <c r="AE180" s="31">
        <f>ROUND(I180*1.5%,2)</f>
        <v>2635.82</v>
      </c>
      <c r="AF180" s="31">
        <v>0</v>
      </c>
      <c r="AG180" s="31">
        <v>0</v>
      </c>
      <c r="AH180" s="129" t="s">
        <v>274</v>
      </c>
      <c r="AI180" s="129">
        <v>2020</v>
      </c>
      <c r="AJ180" s="129">
        <v>2020</v>
      </c>
    </row>
    <row r="181" spans="1:36" ht="61.5" x14ac:dyDescent="0.85">
      <c r="B181" s="177" t="s">
        <v>1321</v>
      </c>
      <c r="C181" s="131"/>
      <c r="D181" s="130" t="s">
        <v>916</v>
      </c>
      <c r="E181" s="69">
        <f>E182</f>
        <v>0.99180000000000001</v>
      </c>
      <c r="F181" s="31">
        <f>F182</f>
        <v>273035</v>
      </c>
      <c r="G181" s="31">
        <f t="shared" ref="G181:AG181" si="45">G182</f>
        <v>0</v>
      </c>
      <c r="H181" s="31">
        <f t="shared" si="45"/>
        <v>0</v>
      </c>
      <c r="I181" s="31">
        <f t="shared" si="45"/>
        <v>0</v>
      </c>
      <c r="J181" s="31">
        <f t="shared" si="45"/>
        <v>0</v>
      </c>
      <c r="K181" s="31">
        <f t="shared" si="45"/>
        <v>0</v>
      </c>
      <c r="L181" s="31">
        <f t="shared" si="45"/>
        <v>0</v>
      </c>
      <c r="M181" s="33">
        <f t="shared" si="45"/>
        <v>0</v>
      </c>
      <c r="N181" s="31">
        <f t="shared" si="45"/>
        <v>0</v>
      </c>
      <c r="O181" s="31">
        <f t="shared" si="45"/>
        <v>0</v>
      </c>
      <c r="P181" s="31">
        <f t="shared" si="45"/>
        <v>0</v>
      </c>
      <c r="Q181" s="31">
        <f t="shared" si="45"/>
        <v>0</v>
      </c>
      <c r="R181" s="31">
        <f t="shared" si="45"/>
        <v>0</v>
      </c>
      <c r="S181" s="31">
        <f t="shared" si="45"/>
        <v>488.11</v>
      </c>
      <c r="T181" s="31">
        <f t="shared" si="45"/>
        <v>269000</v>
      </c>
      <c r="U181" s="31">
        <f t="shared" si="45"/>
        <v>0</v>
      </c>
      <c r="V181" s="31">
        <f t="shared" si="45"/>
        <v>0</v>
      </c>
      <c r="W181" s="31">
        <f t="shared" si="45"/>
        <v>0</v>
      </c>
      <c r="X181" s="31">
        <f t="shared" si="45"/>
        <v>0</v>
      </c>
      <c r="Y181" s="31">
        <f t="shared" si="45"/>
        <v>0</v>
      </c>
      <c r="Z181" s="31">
        <f t="shared" si="45"/>
        <v>0</v>
      </c>
      <c r="AA181" s="31">
        <f t="shared" si="45"/>
        <v>0</v>
      </c>
      <c r="AB181" s="31">
        <f t="shared" si="45"/>
        <v>0</v>
      </c>
      <c r="AC181" s="31">
        <f t="shared" si="45"/>
        <v>0</v>
      </c>
      <c r="AD181" s="31">
        <f t="shared" si="45"/>
        <v>0</v>
      </c>
      <c r="AE181" s="31">
        <f t="shared" si="45"/>
        <v>4035</v>
      </c>
      <c r="AF181" s="31">
        <f t="shared" si="45"/>
        <v>0</v>
      </c>
      <c r="AG181" s="31">
        <f t="shared" si="45"/>
        <v>0</v>
      </c>
      <c r="AH181" s="129" t="s">
        <v>916</v>
      </c>
      <c r="AI181" s="129" t="s">
        <v>916</v>
      </c>
      <c r="AJ181" s="129" t="s">
        <v>916</v>
      </c>
    </row>
    <row r="182" spans="1:36" ht="61.5" x14ac:dyDescent="0.85">
      <c r="A182" s="6">
        <v>1</v>
      </c>
      <c r="B182" s="66">
        <f>SUBTOTAL(103,$A$66:A182)</f>
        <v>98</v>
      </c>
      <c r="C182" s="131" t="s">
        <v>1535</v>
      </c>
      <c r="D182" s="130" t="s">
        <v>1444</v>
      </c>
      <c r="E182" s="69">
        <v>0.99180000000000001</v>
      </c>
      <c r="F182" s="31">
        <f>G182+H182+I182+J182+K182+L182+N182+P182+R182+T182+V182+W182+X182+Y182+Z182+AA182+AB182+AC182+AD182+AE182+AF182+AG182</f>
        <v>273035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3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31">
        <v>488.11</v>
      </c>
      <c r="T182" s="31">
        <v>269000</v>
      </c>
      <c r="U182" s="31">
        <v>0</v>
      </c>
      <c r="V182" s="31">
        <v>0</v>
      </c>
      <c r="W182" s="31">
        <v>0</v>
      </c>
      <c r="X182" s="31">
        <v>0</v>
      </c>
      <c r="Y182" s="31">
        <v>0</v>
      </c>
      <c r="Z182" s="31">
        <v>0</v>
      </c>
      <c r="AA182" s="31">
        <v>0</v>
      </c>
      <c r="AB182" s="31">
        <v>0</v>
      </c>
      <c r="AC182" s="31">
        <v>0</v>
      </c>
      <c r="AD182" s="31">
        <v>0</v>
      </c>
      <c r="AE182" s="31">
        <f>ROUND(T182*1.5%,2)</f>
        <v>4035</v>
      </c>
      <c r="AF182" s="31">
        <v>0</v>
      </c>
      <c r="AG182" s="31">
        <v>0</v>
      </c>
      <c r="AH182" s="129" t="s">
        <v>274</v>
      </c>
      <c r="AI182" s="129">
        <v>2020</v>
      </c>
      <c r="AJ182" s="129">
        <v>2020</v>
      </c>
    </row>
    <row r="183" spans="1:36" ht="61.5" x14ac:dyDescent="0.85">
      <c r="B183" s="177" t="s">
        <v>873</v>
      </c>
      <c r="C183" s="131"/>
      <c r="D183" s="130" t="s">
        <v>916</v>
      </c>
      <c r="E183" s="69">
        <f>E184</f>
        <v>1</v>
      </c>
      <c r="F183" s="31">
        <f>F184</f>
        <v>237510</v>
      </c>
      <c r="G183" s="31">
        <f t="shared" ref="G183:AG183" si="46">G184</f>
        <v>0</v>
      </c>
      <c r="H183" s="31">
        <f t="shared" si="46"/>
        <v>0</v>
      </c>
      <c r="I183" s="31">
        <f t="shared" si="46"/>
        <v>0</v>
      </c>
      <c r="J183" s="31">
        <f t="shared" si="46"/>
        <v>0</v>
      </c>
      <c r="K183" s="31">
        <f t="shared" si="46"/>
        <v>0</v>
      </c>
      <c r="L183" s="31">
        <f t="shared" si="46"/>
        <v>0</v>
      </c>
      <c r="M183" s="33">
        <f t="shared" si="46"/>
        <v>0</v>
      </c>
      <c r="N183" s="31">
        <f t="shared" si="46"/>
        <v>0</v>
      </c>
      <c r="O183" s="31">
        <f t="shared" si="46"/>
        <v>0</v>
      </c>
      <c r="P183" s="31">
        <f t="shared" si="46"/>
        <v>0</v>
      </c>
      <c r="Q183" s="31">
        <f t="shared" si="46"/>
        <v>0</v>
      </c>
      <c r="R183" s="31">
        <f t="shared" si="46"/>
        <v>0</v>
      </c>
      <c r="S183" s="31">
        <f t="shared" si="46"/>
        <v>370.88</v>
      </c>
      <c r="T183" s="31">
        <f t="shared" si="46"/>
        <v>234000</v>
      </c>
      <c r="U183" s="31">
        <f t="shared" si="46"/>
        <v>0</v>
      </c>
      <c r="V183" s="31">
        <f t="shared" si="46"/>
        <v>0</v>
      </c>
      <c r="W183" s="31">
        <f t="shared" si="46"/>
        <v>0</v>
      </c>
      <c r="X183" s="31">
        <f t="shared" si="46"/>
        <v>0</v>
      </c>
      <c r="Y183" s="31">
        <f t="shared" si="46"/>
        <v>0</v>
      </c>
      <c r="Z183" s="31">
        <f t="shared" si="46"/>
        <v>0</v>
      </c>
      <c r="AA183" s="31">
        <f t="shared" si="46"/>
        <v>0</v>
      </c>
      <c r="AB183" s="31">
        <f t="shared" si="46"/>
        <v>0</v>
      </c>
      <c r="AC183" s="31">
        <f t="shared" si="46"/>
        <v>0</v>
      </c>
      <c r="AD183" s="31">
        <f t="shared" si="46"/>
        <v>0</v>
      </c>
      <c r="AE183" s="31">
        <f t="shared" si="46"/>
        <v>3510</v>
      </c>
      <c r="AF183" s="31">
        <f t="shared" si="46"/>
        <v>0</v>
      </c>
      <c r="AG183" s="31">
        <f t="shared" si="46"/>
        <v>0</v>
      </c>
      <c r="AH183" s="129" t="s">
        <v>916</v>
      </c>
      <c r="AI183" s="129" t="s">
        <v>916</v>
      </c>
      <c r="AJ183" s="129" t="s">
        <v>916</v>
      </c>
    </row>
    <row r="184" spans="1:36" ht="61.5" x14ac:dyDescent="0.85">
      <c r="A184" s="6">
        <v>1</v>
      </c>
      <c r="B184" s="66">
        <f>SUBTOTAL(103,$A$66:A184)</f>
        <v>99</v>
      </c>
      <c r="C184" s="131" t="s">
        <v>1536</v>
      </c>
      <c r="D184" s="130" t="s">
        <v>1068</v>
      </c>
      <c r="E184" s="69">
        <v>1</v>
      </c>
      <c r="F184" s="31">
        <f>G184+H184+I184+J184+K184+L184+N184+P184+R184+T184+V184+W184+X184+Y184+Z184+AA184+AB184+AC184+AD184+AE184+AF184+AG184</f>
        <v>237510</v>
      </c>
      <c r="G184" s="31">
        <v>0</v>
      </c>
      <c r="H184" s="31">
        <v>0</v>
      </c>
      <c r="I184" s="31">
        <v>0</v>
      </c>
      <c r="J184" s="31">
        <v>0</v>
      </c>
      <c r="K184" s="31">
        <v>0</v>
      </c>
      <c r="L184" s="31">
        <v>0</v>
      </c>
      <c r="M184" s="33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370.88</v>
      </c>
      <c r="T184" s="31">
        <v>234000</v>
      </c>
      <c r="U184" s="31">
        <v>0</v>
      </c>
      <c r="V184" s="31">
        <v>0</v>
      </c>
      <c r="W184" s="31">
        <v>0</v>
      </c>
      <c r="X184" s="31">
        <v>0</v>
      </c>
      <c r="Y184" s="31">
        <v>0</v>
      </c>
      <c r="Z184" s="31">
        <v>0</v>
      </c>
      <c r="AA184" s="31">
        <v>0</v>
      </c>
      <c r="AB184" s="31">
        <v>0</v>
      </c>
      <c r="AC184" s="31">
        <v>0</v>
      </c>
      <c r="AD184" s="31">
        <v>0</v>
      </c>
      <c r="AE184" s="31">
        <f>ROUND(T184*1.5%,2)</f>
        <v>3510</v>
      </c>
      <c r="AF184" s="31">
        <v>0</v>
      </c>
      <c r="AG184" s="31">
        <v>0</v>
      </c>
      <c r="AH184" s="129" t="s">
        <v>274</v>
      </c>
      <c r="AI184" s="129">
        <v>2020</v>
      </c>
      <c r="AJ184" s="129">
        <v>2020</v>
      </c>
    </row>
    <row r="185" spans="1:36" ht="61.5" x14ac:dyDescent="0.85">
      <c r="B185" s="177" t="s">
        <v>861</v>
      </c>
      <c r="C185" s="131"/>
      <c r="D185" s="130" t="s">
        <v>916</v>
      </c>
      <c r="E185" s="69">
        <f>E186</f>
        <v>0.98829999999999996</v>
      </c>
      <c r="F185" s="31">
        <f>F186</f>
        <v>1114586.8</v>
      </c>
      <c r="G185" s="31">
        <f t="shared" ref="G185:AG185" si="47">G186</f>
        <v>0</v>
      </c>
      <c r="H185" s="31">
        <f t="shared" si="47"/>
        <v>0</v>
      </c>
      <c r="I185" s="31">
        <f t="shared" si="47"/>
        <v>0</v>
      </c>
      <c r="J185" s="31">
        <f t="shared" si="47"/>
        <v>0</v>
      </c>
      <c r="K185" s="31">
        <f t="shared" si="47"/>
        <v>0</v>
      </c>
      <c r="L185" s="31">
        <f t="shared" si="47"/>
        <v>0</v>
      </c>
      <c r="M185" s="33">
        <f t="shared" si="47"/>
        <v>0</v>
      </c>
      <c r="N185" s="31">
        <f t="shared" si="47"/>
        <v>0</v>
      </c>
      <c r="O185" s="31">
        <f t="shared" si="47"/>
        <v>400</v>
      </c>
      <c r="P185" s="31">
        <f t="shared" si="47"/>
        <v>1098115.07</v>
      </c>
      <c r="Q185" s="31">
        <f t="shared" si="47"/>
        <v>0</v>
      </c>
      <c r="R185" s="31">
        <f t="shared" si="47"/>
        <v>0</v>
      </c>
      <c r="S185" s="31">
        <f t="shared" si="47"/>
        <v>0</v>
      </c>
      <c r="T185" s="31">
        <f t="shared" si="47"/>
        <v>0</v>
      </c>
      <c r="U185" s="31">
        <f t="shared" si="47"/>
        <v>0</v>
      </c>
      <c r="V185" s="31">
        <f t="shared" si="47"/>
        <v>0</v>
      </c>
      <c r="W185" s="31">
        <f t="shared" si="47"/>
        <v>0</v>
      </c>
      <c r="X185" s="31">
        <f t="shared" si="47"/>
        <v>0</v>
      </c>
      <c r="Y185" s="31">
        <f t="shared" si="47"/>
        <v>0</v>
      </c>
      <c r="Z185" s="31">
        <f t="shared" si="47"/>
        <v>0</v>
      </c>
      <c r="AA185" s="31">
        <f t="shared" si="47"/>
        <v>0</v>
      </c>
      <c r="AB185" s="31">
        <f t="shared" si="47"/>
        <v>0</v>
      </c>
      <c r="AC185" s="31">
        <f t="shared" si="47"/>
        <v>0</v>
      </c>
      <c r="AD185" s="31">
        <f t="shared" si="47"/>
        <v>0</v>
      </c>
      <c r="AE185" s="31">
        <f t="shared" si="47"/>
        <v>16471.73</v>
      </c>
      <c r="AF185" s="31">
        <f t="shared" si="47"/>
        <v>0</v>
      </c>
      <c r="AG185" s="31">
        <f t="shared" si="47"/>
        <v>0</v>
      </c>
      <c r="AH185" s="129" t="s">
        <v>916</v>
      </c>
      <c r="AI185" s="129" t="s">
        <v>916</v>
      </c>
      <c r="AJ185" s="129" t="s">
        <v>916</v>
      </c>
    </row>
    <row r="186" spans="1:36" ht="61.5" x14ac:dyDescent="0.85">
      <c r="A186" s="6">
        <v>1</v>
      </c>
      <c r="B186" s="66">
        <f>SUBTOTAL(103,$A$66:A186)</f>
        <v>100</v>
      </c>
      <c r="C186" s="131" t="s">
        <v>1537</v>
      </c>
      <c r="D186" s="89" t="s">
        <v>1451</v>
      </c>
      <c r="E186" s="69">
        <v>0.98829999999999996</v>
      </c>
      <c r="F186" s="31">
        <f>G186+H186+I186+J186+K186+L186+N186+P186+R186+T186+V186+W186+X186+Y186+Z186+AA186+AB186+AC186+AD186+AE186+AF186+AG186</f>
        <v>1114586.8</v>
      </c>
      <c r="G186" s="31">
        <v>0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  <c r="M186" s="33">
        <v>0</v>
      </c>
      <c r="N186" s="31">
        <v>0</v>
      </c>
      <c r="O186" s="31">
        <v>400</v>
      </c>
      <c r="P186" s="31">
        <v>1098115.07</v>
      </c>
      <c r="Q186" s="31">
        <v>0</v>
      </c>
      <c r="R186" s="31">
        <v>0</v>
      </c>
      <c r="S186" s="31">
        <v>0</v>
      </c>
      <c r="T186" s="31">
        <v>0</v>
      </c>
      <c r="U186" s="31">
        <v>0</v>
      </c>
      <c r="V186" s="31">
        <v>0</v>
      </c>
      <c r="W186" s="31">
        <v>0</v>
      </c>
      <c r="X186" s="31">
        <v>0</v>
      </c>
      <c r="Y186" s="31">
        <v>0</v>
      </c>
      <c r="Z186" s="31">
        <v>0</v>
      </c>
      <c r="AA186" s="31">
        <v>0</v>
      </c>
      <c r="AB186" s="31">
        <v>0</v>
      </c>
      <c r="AC186" s="31">
        <v>0</v>
      </c>
      <c r="AD186" s="31">
        <v>0</v>
      </c>
      <c r="AE186" s="31">
        <f>ROUND(P186*1.5%,2)</f>
        <v>16471.73</v>
      </c>
      <c r="AF186" s="31">
        <v>0</v>
      </c>
      <c r="AG186" s="31">
        <v>0</v>
      </c>
      <c r="AH186" s="129" t="s">
        <v>274</v>
      </c>
      <c r="AI186" s="129">
        <v>2020</v>
      </c>
      <c r="AJ186" s="129">
        <v>2020</v>
      </c>
    </row>
    <row r="187" spans="1:36" ht="61.5" x14ac:dyDescent="0.85">
      <c r="B187" s="177" t="s">
        <v>866</v>
      </c>
      <c r="C187" s="131"/>
      <c r="D187" s="130" t="s">
        <v>916</v>
      </c>
      <c r="E187" s="69">
        <f>E188</f>
        <v>0.72670000000000001</v>
      </c>
      <c r="F187" s="31">
        <f>F188</f>
        <v>40586.949999999997</v>
      </c>
      <c r="G187" s="31">
        <f t="shared" ref="G187:AG187" si="48">G188</f>
        <v>0</v>
      </c>
      <c r="H187" s="31">
        <f t="shared" si="48"/>
        <v>0</v>
      </c>
      <c r="I187" s="31">
        <f t="shared" si="48"/>
        <v>0</v>
      </c>
      <c r="J187" s="31">
        <f t="shared" si="48"/>
        <v>0</v>
      </c>
      <c r="K187" s="31">
        <f t="shared" si="48"/>
        <v>0</v>
      </c>
      <c r="L187" s="31">
        <f t="shared" si="48"/>
        <v>0</v>
      </c>
      <c r="M187" s="33">
        <f t="shared" si="48"/>
        <v>0</v>
      </c>
      <c r="N187" s="31">
        <f t="shared" si="48"/>
        <v>0</v>
      </c>
      <c r="O187" s="31">
        <f t="shared" si="48"/>
        <v>651</v>
      </c>
      <c r="P187" s="31">
        <f t="shared" si="48"/>
        <v>39987.14</v>
      </c>
      <c r="Q187" s="31">
        <f t="shared" si="48"/>
        <v>0</v>
      </c>
      <c r="R187" s="31">
        <f t="shared" si="48"/>
        <v>0</v>
      </c>
      <c r="S187" s="31">
        <f t="shared" si="48"/>
        <v>0</v>
      </c>
      <c r="T187" s="31">
        <f t="shared" si="48"/>
        <v>0</v>
      </c>
      <c r="U187" s="31">
        <f t="shared" si="48"/>
        <v>0</v>
      </c>
      <c r="V187" s="31">
        <f t="shared" si="48"/>
        <v>0</v>
      </c>
      <c r="W187" s="31">
        <f t="shared" si="48"/>
        <v>0</v>
      </c>
      <c r="X187" s="31">
        <f t="shared" si="48"/>
        <v>0</v>
      </c>
      <c r="Y187" s="31">
        <f t="shared" si="48"/>
        <v>0</v>
      </c>
      <c r="Z187" s="31">
        <f t="shared" si="48"/>
        <v>0</v>
      </c>
      <c r="AA187" s="31">
        <f t="shared" si="48"/>
        <v>0</v>
      </c>
      <c r="AB187" s="31">
        <f t="shared" si="48"/>
        <v>0</v>
      </c>
      <c r="AC187" s="31">
        <f t="shared" si="48"/>
        <v>0</v>
      </c>
      <c r="AD187" s="31">
        <f t="shared" si="48"/>
        <v>0</v>
      </c>
      <c r="AE187" s="31">
        <f t="shared" si="48"/>
        <v>599.80999999999995</v>
      </c>
      <c r="AF187" s="31">
        <f t="shared" si="48"/>
        <v>0</v>
      </c>
      <c r="AG187" s="31">
        <f t="shared" si="48"/>
        <v>0</v>
      </c>
      <c r="AH187" s="129" t="s">
        <v>916</v>
      </c>
      <c r="AI187" s="129" t="s">
        <v>916</v>
      </c>
      <c r="AJ187" s="129" t="s">
        <v>916</v>
      </c>
    </row>
    <row r="188" spans="1:36" ht="61.5" x14ac:dyDescent="0.85">
      <c r="A188" s="6">
        <v>1</v>
      </c>
      <c r="B188" s="66">
        <f>SUBTOTAL(103,$A$66:A188)</f>
        <v>101</v>
      </c>
      <c r="C188" s="131" t="s">
        <v>1538</v>
      </c>
      <c r="D188" s="89" t="s">
        <v>1069</v>
      </c>
      <c r="E188" s="69">
        <v>0.72670000000000001</v>
      </c>
      <c r="F188" s="31">
        <f>G188+H188+I188+J188+K188+L188+N188+P188+R188+T188+V188+W188+X188+Y188+Z188+AA188+AB188+AC188+AD188+AE188+AF188+AG188</f>
        <v>40586.949999999997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3">
        <v>0</v>
      </c>
      <c r="N188" s="31">
        <v>0</v>
      </c>
      <c r="O188" s="31">
        <v>651</v>
      </c>
      <c r="P188" s="31">
        <v>39987.14</v>
      </c>
      <c r="Q188" s="31">
        <v>0</v>
      </c>
      <c r="R188" s="31">
        <v>0</v>
      </c>
      <c r="S188" s="31">
        <v>0</v>
      </c>
      <c r="T188" s="31">
        <v>0</v>
      </c>
      <c r="U188" s="31">
        <v>0</v>
      </c>
      <c r="V188" s="31">
        <v>0</v>
      </c>
      <c r="W188" s="31">
        <v>0</v>
      </c>
      <c r="X188" s="31">
        <v>0</v>
      </c>
      <c r="Y188" s="31">
        <v>0</v>
      </c>
      <c r="Z188" s="31">
        <v>0</v>
      </c>
      <c r="AA188" s="31">
        <v>0</v>
      </c>
      <c r="AB188" s="31">
        <v>0</v>
      </c>
      <c r="AC188" s="31">
        <v>0</v>
      </c>
      <c r="AD188" s="31">
        <v>0</v>
      </c>
      <c r="AE188" s="31">
        <f>ROUND(P188*1.5%,2)</f>
        <v>599.80999999999995</v>
      </c>
      <c r="AF188" s="31">
        <v>0</v>
      </c>
      <c r="AG188" s="31">
        <v>0</v>
      </c>
      <c r="AH188" s="129" t="s">
        <v>274</v>
      </c>
      <c r="AI188" s="129">
        <v>2020</v>
      </c>
      <c r="AJ188" s="129">
        <v>2020</v>
      </c>
    </row>
    <row r="189" spans="1:36" ht="61.5" x14ac:dyDescent="0.85">
      <c r="B189" s="177" t="s">
        <v>881</v>
      </c>
      <c r="C189" s="131"/>
      <c r="D189" s="130" t="s">
        <v>916</v>
      </c>
      <c r="E189" s="69">
        <f>E190</f>
        <v>0.98380000000000001</v>
      </c>
      <c r="F189" s="31">
        <f>F190</f>
        <v>39622.869999999995</v>
      </c>
      <c r="G189" s="31">
        <f t="shared" ref="G189:AG189" si="49">G190</f>
        <v>0</v>
      </c>
      <c r="H189" s="31">
        <f t="shared" si="49"/>
        <v>0</v>
      </c>
      <c r="I189" s="31">
        <f t="shared" si="49"/>
        <v>0</v>
      </c>
      <c r="J189" s="31">
        <f t="shared" si="49"/>
        <v>0</v>
      </c>
      <c r="K189" s="31">
        <f t="shared" si="49"/>
        <v>0</v>
      </c>
      <c r="L189" s="31">
        <f t="shared" si="49"/>
        <v>0</v>
      </c>
      <c r="M189" s="33">
        <f t="shared" si="49"/>
        <v>0</v>
      </c>
      <c r="N189" s="31">
        <f t="shared" si="49"/>
        <v>0</v>
      </c>
      <c r="O189" s="31">
        <f t="shared" si="49"/>
        <v>762</v>
      </c>
      <c r="P189" s="31">
        <f t="shared" si="49"/>
        <v>39037.31</v>
      </c>
      <c r="Q189" s="31">
        <f t="shared" si="49"/>
        <v>0</v>
      </c>
      <c r="R189" s="31">
        <f t="shared" si="49"/>
        <v>0</v>
      </c>
      <c r="S189" s="31">
        <f t="shared" si="49"/>
        <v>0</v>
      </c>
      <c r="T189" s="31">
        <f t="shared" si="49"/>
        <v>0</v>
      </c>
      <c r="U189" s="31">
        <f t="shared" si="49"/>
        <v>0</v>
      </c>
      <c r="V189" s="31">
        <f t="shared" si="49"/>
        <v>0</v>
      </c>
      <c r="W189" s="31">
        <f t="shared" si="49"/>
        <v>0</v>
      </c>
      <c r="X189" s="31">
        <f t="shared" si="49"/>
        <v>0</v>
      </c>
      <c r="Y189" s="31">
        <f t="shared" si="49"/>
        <v>0</v>
      </c>
      <c r="Z189" s="31">
        <f t="shared" si="49"/>
        <v>0</v>
      </c>
      <c r="AA189" s="31">
        <f t="shared" si="49"/>
        <v>0</v>
      </c>
      <c r="AB189" s="31">
        <f t="shared" si="49"/>
        <v>0</v>
      </c>
      <c r="AC189" s="31">
        <f t="shared" si="49"/>
        <v>0</v>
      </c>
      <c r="AD189" s="31">
        <f t="shared" si="49"/>
        <v>0</v>
      </c>
      <c r="AE189" s="31">
        <f t="shared" si="49"/>
        <v>585.55999999999995</v>
      </c>
      <c r="AF189" s="31">
        <f t="shared" si="49"/>
        <v>0</v>
      </c>
      <c r="AG189" s="31">
        <f t="shared" si="49"/>
        <v>0</v>
      </c>
      <c r="AH189" s="129" t="s">
        <v>916</v>
      </c>
      <c r="AI189" s="129" t="s">
        <v>916</v>
      </c>
      <c r="AJ189" s="129" t="s">
        <v>916</v>
      </c>
    </row>
    <row r="190" spans="1:36" ht="61.5" x14ac:dyDescent="0.85">
      <c r="A190" s="6">
        <v>1</v>
      </c>
      <c r="B190" s="66">
        <f>SUBTOTAL(103,$A$66:A190)</f>
        <v>102</v>
      </c>
      <c r="C190" s="131" t="s">
        <v>1539</v>
      </c>
      <c r="D190" s="89" t="s">
        <v>1066</v>
      </c>
      <c r="E190" s="69">
        <v>0.98380000000000001</v>
      </c>
      <c r="F190" s="31">
        <f>G190+H190+I190+J190+K190+L190+N190+P190+R190+T190+V190+W190+X190+Y190+Z190+AA190+AB190+AC190+AD190+AE190+AF190+AG190</f>
        <v>39622.869999999995</v>
      </c>
      <c r="G190" s="31">
        <v>0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  <c r="M190" s="33">
        <v>0</v>
      </c>
      <c r="N190" s="31">
        <v>0</v>
      </c>
      <c r="O190" s="31">
        <v>762</v>
      </c>
      <c r="P190" s="31">
        <v>39037.31</v>
      </c>
      <c r="Q190" s="31">
        <v>0</v>
      </c>
      <c r="R190" s="31">
        <v>0</v>
      </c>
      <c r="S190" s="31">
        <v>0</v>
      </c>
      <c r="T190" s="31">
        <v>0</v>
      </c>
      <c r="U190" s="31">
        <v>0</v>
      </c>
      <c r="V190" s="31">
        <v>0</v>
      </c>
      <c r="W190" s="31">
        <v>0</v>
      </c>
      <c r="X190" s="31">
        <v>0</v>
      </c>
      <c r="Y190" s="31">
        <v>0</v>
      </c>
      <c r="Z190" s="31">
        <v>0</v>
      </c>
      <c r="AA190" s="31">
        <v>0</v>
      </c>
      <c r="AB190" s="31">
        <v>0</v>
      </c>
      <c r="AC190" s="31">
        <v>0</v>
      </c>
      <c r="AD190" s="31">
        <v>0</v>
      </c>
      <c r="AE190" s="31">
        <f>ROUND(P190*1.5%,2)</f>
        <v>585.55999999999995</v>
      </c>
      <c r="AF190" s="31">
        <v>0</v>
      </c>
      <c r="AG190" s="31">
        <v>0</v>
      </c>
      <c r="AH190" s="129" t="s">
        <v>274</v>
      </c>
      <c r="AI190" s="129">
        <v>2020</v>
      </c>
      <c r="AJ190" s="129">
        <v>2020</v>
      </c>
    </row>
    <row r="191" spans="1:36" ht="61.5" x14ac:dyDescent="0.85">
      <c r="B191" s="177" t="s">
        <v>859</v>
      </c>
      <c r="C191" s="131"/>
      <c r="D191" s="130" t="s">
        <v>916</v>
      </c>
      <c r="E191" s="69">
        <f>E192</f>
        <v>0.96889999999999998</v>
      </c>
      <c r="F191" s="31">
        <f>F192</f>
        <v>8028.65</v>
      </c>
      <c r="G191" s="31">
        <f t="shared" ref="G191:AG191" si="50">G192</f>
        <v>0</v>
      </c>
      <c r="H191" s="31">
        <f t="shared" si="50"/>
        <v>0</v>
      </c>
      <c r="I191" s="31">
        <f t="shared" si="50"/>
        <v>0</v>
      </c>
      <c r="J191" s="31">
        <f t="shared" si="50"/>
        <v>0</v>
      </c>
      <c r="K191" s="31">
        <f t="shared" si="50"/>
        <v>0</v>
      </c>
      <c r="L191" s="31">
        <f t="shared" si="50"/>
        <v>0</v>
      </c>
      <c r="M191" s="33">
        <f t="shared" si="50"/>
        <v>0</v>
      </c>
      <c r="N191" s="31">
        <f t="shared" si="50"/>
        <v>0</v>
      </c>
      <c r="O191" s="31">
        <f t="shared" si="50"/>
        <v>981.6</v>
      </c>
      <c r="P191" s="31">
        <f t="shared" si="50"/>
        <v>7910</v>
      </c>
      <c r="Q191" s="31">
        <f t="shared" si="50"/>
        <v>0</v>
      </c>
      <c r="R191" s="31">
        <f t="shared" si="50"/>
        <v>0</v>
      </c>
      <c r="S191" s="31">
        <f t="shared" si="50"/>
        <v>0</v>
      </c>
      <c r="T191" s="31">
        <f t="shared" si="50"/>
        <v>0</v>
      </c>
      <c r="U191" s="31">
        <f t="shared" si="50"/>
        <v>0</v>
      </c>
      <c r="V191" s="31">
        <f t="shared" si="50"/>
        <v>0</v>
      </c>
      <c r="W191" s="31">
        <f t="shared" si="50"/>
        <v>0</v>
      </c>
      <c r="X191" s="31">
        <f t="shared" si="50"/>
        <v>0</v>
      </c>
      <c r="Y191" s="31">
        <f t="shared" si="50"/>
        <v>0</v>
      </c>
      <c r="Z191" s="31">
        <f t="shared" si="50"/>
        <v>0</v>
      </c>
      <c r="AA191" s="31">
        <f t="shared" si="50"/>
        <v>0</v>
      </c>
      <c r="AB191" s="31">
        <f t="shared" si="50"/>
        <v>0</v>
      </c>
      <c r="AC191" s="31">
        <f t="shared" si="50"/>
        <v>0</v>
      </c>
      <c r="AD191" s="31">
        <f t="shared" si="50"/>
        <v>0</v>
      </c>
      <c r="AE191" s="31">
        <f t="shared" si="50"/>
        <v>118.65</v>
      </c>
      <c r="AF191" s="31">
        <f t="shared" si="50"/>
        <v>0</v>
      </c>
      <c r="AG191" s="31">
        <f t="shared" si="50"/>
        <v>0</v>
      </c>
      <c r="AH191" s="129" t="s">
        <v>916</v>
      </c>
      <c r="AI191" s="129" t="s">
        <v>916</v>
      </c>
      <c r="AJ191" s="129" t="s">
        <v>916</v>
      </c>
    </row>
    <row r="192" spans="1:36" ht="61.5" x14ac:dyDescent="0.85">
      <c r="A192" s="6">
        <v>1</v>
      </c>
      <c r="B192" s="66">
        <f>SUBTOTAL(103,$A$66:A192)</f>
        <v>103</v>
      </c>
      <c r="C192" s="131" t="s">
        <v>1547</v>
      </c>
      <c r="D192" s="89" t="s">
        <v>1066</v>
      </c>
      <c r="E192" s="69">
        <v>0.96889999999999998</v>
      </c>
      <c r="F192" s="31">
        <f>G192+H192+I192+J192+K192+L192+N192+P192+R192+T192+V192+W192+X192+Y192+Z192+AA192+AB192+AC192+AD192+AE192+AF192+AG192</f>
        <v>8028.65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3">
        <v>0</v>
      </c>
      <c r="N192" s="31">
        <v>0</v>
      </c>
      <c r="O192" s="31">
        <v>981.6</v>
      </c>
      <c r="P192" s="31">
        <v>7910</v>
      </c>
      <c r="Q192" s="31">
        <v>0</v>
      </c>
      <c r="R192" s="31">
        <v>0</v>
      </c>
      <c r="S192" s="31">
        <v>0</v>
      </c>
      <c r="T192" s="31">
        <v>0</v>
      </c>
      <c r="U192" s="31">
        <v>0</v>
      </c>
      <c r="V192" s="31">
        <v>0</v>
      </c>
      <c r="W192" s="31">
        <v>0</v>
      </c>
      <c r="X192" s="31">
        <v>0</v>
      </c>
      <c r="Y192" s="31">
        <v>0</v>
      </c>
      <c r="Z192" s="31">
        <v>0</v>
      </c>
      <c r="AA192" s="31">
        <v>0</v>
      </c>
      <c r="AB192" s="31">
        <v>0</v>
      </c>
      <c r="AC192" s="31">
        <v>0</v>
      </c>
      <c r="AD192" s="31">
        <v>0</v>
      </c>
      <c r="AE192" s="31">
        <f>ROUND(P192*1.5%,2)</f>
        <v>118.65</v>
      </c>
      <c r="AF192" s="31">
        <v>0</v>
      </c>
      <c r="AG192" s="31">
        <v>0</v>
      </c>
      <c r="AH192" s="129" t="s">
        <v>274</v>
      </c>
      <c r="AI192" s="129">
        <v>2020</v>
      </c>
      <c r="AJ192" s="129">
        <v>2020</v>
      </c>
    </row>
    <row r="193" spans="1:36" ht="61.5" x14ac:dyDescent="0.85">
      <c r="B193" s="177" t="s">
        <v>864</v>
      </c>
      <c r="C193" s="131"/>
      <c r="D193" s="130" t="s">
        <v>916</v>
      </c>
      <c r="E193" s="69">
        <f>AVERAGE(E194:E195)</f>
        <v>0.83830000000000005</v>
      </c>
      <c r="F193" s="31">
        <f>F194+F195</f>
        <v>180508.62</v>
      </c>
      <c r="G193" s="31">
        <f t="shared" ref="G193:AG193" si="51">G194+G195</f>
        <v>0</v>
      </c>
      <c r="H193" s="31">
        <f t="shared" si="51"/>
        <v>0</v>
      </c>
      <c r="I193" s="31">
        <f t="shared" si="51"/>
        <v>0</v>
      </c>
      <c r="J193" s="31">
        <f t="shared" si="51"/>
        <v>0</v>
      </c>
      <c r="K193" s="31">
        <f t="shared" si="51"/>
        <v>0</v>
      </c>
      <c r="L193" s="31">
        <f t="shared" si="51"/>
        <v>0</v>
      </c>
      <c r="M193" s="33">
        <f t="shared" si="51"/>
        <v>0</v>
      </c>
      <c r="N193" s="31">
        <f t="shared" si="51"/>
        <v>0</v>
      </c>
      <c r="O193" s="31">
        <f t="shared" si="51"/>
        <v>949</v>
      </c>
      <c r="P193" s="31">
        <f t="shared" si="51"/>
        <v>177841</v>
      </c>
      <c r="Q193" s="31">
        <f t="shared" si="51"/>
        <v>0</v>
      </c>
      <c r="R193" s="31">
        <f t="shared" si="51"/>
        <v>0</v>
      </c>
      <c r="S193" s="31">
        <f t="shared" si="51"/>
        <v>0</v>
      </c>
      <c r="T193" s="31">
        <f t="shared" si="51"/>
        <v>0</v>
      </c>
      <c r="U193" s="31">
        <f t="shared" si="51"/>
        <v>0</v>
      </c>
      <c r="V193" s="31">
        <f t="shared" si="51"/>
        <v>0</v>
      </c>
      <c r="W193" s="31">
        <f t="shared" si="51"/>
        <v>0</v>
      </c>
      <c r="X193" s="31">
        <f t="shared" si="51"/>
        <v>0</v>
      </c>
      <c r="Y193" s="31">
        <f t="shared" si="51"/>
        <v>0</v>
      </c>
      <c r="Z193" s="31">
        <f t="shared" si="51"/>
        <v>0</v>
      </c>
      <c r="AA193" s="31">
        <f t="shared" si="51"/>
        <v>0</v>
      </c>
      <c r="AB193" s="31">
        <f t="shared" si="51"/>
        <v>0</v>
      </c>
      <c r="AC193" s="31">
        <f t="shared" si="51"/>
        <v>0</v>
      </c>
      <c r="AD193" s="31">
        <f t="shared" si="51"/>
        <v>0</v>
      </c>
      <c r="AE193" s="31">
        <f t="shared" si="51"/>
        <v>2667.62</v>
      </c>
      <c r="AF193" s="31">
        <f t="shared" si="51"/>
        <v>0</v>
      </c>
      <c r="AG193" s="31">
        <f t="shared" si="51"/>
        <v>0</v>
      </c>
      <c r="AH193" s="129" t="s">
        <v>916</v>
      </c>
      <c r="AI193" s="129" t="s">
        <v>916</v>
      </c>
      <c r="AJ193" s="129" t="s">
        <v>916</v>
      </c>
    </row>
    <row r="194" spans="1:36" ht="61.5" x14ac:dyDescent="0.85">
      <c r="A194" s="6">
        <v>1</v>
      </c>
      <c r="B194" s="66">
        <f>SUBTOTAL(103,$A$66:A194)</f>
        <v>104</v>
      </c>
      <c r="C194" s="131" t="s">
        <v>1548</v>
      </c>
      <c r="D194" s="89" t="s">
        <v>1066</v>
      </c>
      <c r="E194" s="69">
        <v>0.75480000000000003</v>
      </c>
      <c r="F194" s="31">
        <f>G194+H194+I194+J194+K194+L194+N194+P194+R194+T194+V194+W194+X194+Y194+Z194+AA194+AB194+AC194+AD194+AE194+AF194+AG194</f>
        <v>103408.2</v>
      </c>
      <c r="G194" s="31">
        <v>0</v>
      </c>
      <c r="H194" s="31">
        <v>0</v>
      </c>
      <c r="I194" s="31">
        <v>0</v>
      </c>
      <c r="J194" s="31">
        <v>0</v>
      </c>
      <c r="K194" s="31">
        <v>0</v>
      </c>
      <c r="L194" s="31">
        <v>0</v>
      </c>
      <c r="M194" s="33">
        <v>0</v>
      </c>
      <c r="N194" s="31">
        <v>0</v>
      </c>
      <c r="O194" s="31">
        <v>577</v>
      </c>
      <c r="P194" s="31">
        <v>101880</v>
      </c>
      <c r="Q194" s="31">
        <v>0</v>
      </c>
      <c r="R194" s="31">
        <v>0</v>
      </c>
      <c r="S194" s="31">
        <v>0</v>
      </c>
      <c r="T194" s="31">
        <v>0</v>
      </c>
      <c r="U194" s="31">
        <v>0</v>
      </c>
      <c r="V194" s="31">
        <v>0</v>
      </c>
      <c r="W194" s="31">
        <v>0</v>
      </c>
      <c r="X194" s="31">
        <v>0</v>
      </c>
      <c r="Y194" s="31">
        <v>0</v>
      </c>
      <c r="Z194" s="31">
        <v>0</v>
      </c>
      <c r="AA194" s="31">
        <v>0</v>
      </c>
      <c r="AB194" s="31">
        <v>0</v>
      </c>
      <c r="AC194" s="31">
        <v>0</v>
      </c>
      <c r="AD194" s="31">
        <v>0</v>
      </c>
      <c r="AE194" s="31">
        <f>ROUND(P194*1.5%,2)</f>
        <v>1528.2</v>
      </c>
      <c r="AF194" s="31">
        <v>0</v>
      </c>
      <c r="AG194" s="31">
        <v>0</v>
      </c>
      <c r="AH194" s="129" t="s">
        <v>274</v>
      </c>
      <c r="AI194" s="129">
        <v>2020</v>
      </c>
      <c r="AJ194" s="129">
        <v>2020</v>
      </c>
    </row>
    <row r="195" spans="1:36" ht="61.5" x14ac:dyDescent="0.85">
      <c r="A195" s="6">
        <v>1</v>
      </c>
      <c r="B195" s="66">
        <f>SUBTOTAL(103,$A$66:A195)</f>
        <v>105</v>
      </c>
      <c r="C195" s="131" t="s">
        <v>1549</v>
      </c>
      <c r="D195" s="89" t="s">
        <v>1066</v>
      </c>
      <c r="E195" s="69">
        <v>0.92179999999999995</v>
      </c>
      <c r="F195" s="31">
        <f>G195+H195+I195+J195+K195+L195+N195+P195+R195+T195+V195+W195+X195+Y195+Z195+AA195+AB195+AC195+AD195+AE195+AF195+AG195</f>
        <v>77100.42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3">
        <v>0</v>
      </c>
      <c r="N195" s="31">
        <v>0</v>
      </c>
      <c r="O195" s="31">
        <v>372</v>
      </c>
      <c r="P195" s="31">
        <v>75961</v>
      </c>
      <c r="Q195" s="31">
        <v>0</v>
      </c>
      <c r="R195" s="31">
        <v>0</v>
      </c>
      <c r="S195" s="31">
        <v>0</v>
      </c>
      <c r="T195" s="31">
        <v>0</v>
      </c>
      <c r="U195" s="31">
        <v>0</v>
      </c>
      <c r="V195" s="31">
        <v>0</v>
      </c>
      <c r="W195" s="31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v>0</v>
      </c>
      <c r="AD195" s="31">
        <v>0</v>
      </c>
      <c r="AE195" s="31">
        <f>ROUND(P195*1.5%,2)</f>
        <v>1139.42</v>
      </c>
      <c r="AF195" s="31">
        <v>0</v>
      </c>
      <c r="AG195" s="31">
        <v>0</v>
      </c>
      <c r="AH195" s="129" t="s">
        <v>274</v>
      </c>
      <c r="AI195" s="129">
        <v>2020</v>
      </c>
      <c r="AJ195" s="129">
        <v>2020</v>
      </c>
    </row>
    <row r="196" spans="1:36" ht="61.5" x14ac:dyDescent="0.85">
      <c r="B196" s="177" t="s">
        <v>1075</v>
      </c>
      <c r="C196" s="131"/>
      <c r="D196" s="130" t="s">
        <v>916</v>
      </c>
      <c r="E196" s="69">
        <f t="shared" ref="E196:P196" si="52">E197</f>
        <v>0.93410000000000004</v>
      </c>
      <c r="F196" s="31">
        <f t="shared" si="52"/>
        <v>10150</v>
      </c>
      <c r="G196" s="31">
        <f t="shared" si="52"/>
        <v>0</v>
      </c>
      <c r="H196" s="31">
        <f t="shared" si="52"/>
        <v>0</v>
      </c>
      <c r="I196" s="31">
        <f t="shared" si="52"/>
        <v>0</v>
      </c>
      <c r="J196" s="31">
        <f t="shared" si="52"/>
        <v>0</v>
      </c>
      <c r="K196" s="31">
        <f t="shared" si="52"/>
        <v>0</v>
      </c>
      <c r="L196" s="31">
        <f t="shared" si="52"/>
        <v>0</v>
      </c>
      <c r="M196" s="33">
        <f t="shared" si="52"/>
        <v>0</v>
      </c>
      <c r="N196" s="31">
        <f t="shared" si="52"/>
        <v>0</v>
      </c>
      <c r="O196" s="31">
        <f t="shared" si="52"/>
        <v>429.6</v>
      </c>
      <c r="P196" s="31">
        <f t="shared" si="52"/>
        <v>10000</v>
      </c>
      <c r="Q196" s="31">
        <f t="shared" ref="Q196:AG196" si="53">Q197</f>
        <v>0</v>
      </c>
      <c r="R196" s="31">
        <f t="shared" si="53"/>
        <v>0</v>
      </c>
      <c r="S196" s="31">
        <f t="shared" si="53"/>
        <v>0</v>
      </c>
      <c r="T196" s="31">
        <f t="shared" si="53"/>
        <v>0</v>
      </c>
      <c r="U196" s="31">
        <f t="shared" si="53"/>
        <v>0</v>
      </c>
      <c r="V196" s="31">
        <f t="shared" si="53"/>
        <v>0</v>
      </c>
      <c r="W196" s="31">
        <f t="shared" si="53"/>
        <v>0</v>
      </c>
      <c r="X196" s="31">
        <f t="shared" si="53"/>
        <v>0</v>
      </c>
      <c r="Y196" s="31">
        <f t="shared" si="53"/>
        <v>0</v>
      </c>
      <c r="Z196" s="31">
        <f t="shared" si="53"/>
        <v>0</v>
      </c>
      <c r="AA196" s="31">
        <f t="shared" si="53"/>
        <v>0</v>
      </c>
      <c r="AB196" s="31">
        <f t="shared" si="53"/>
        <v>0</v>
      </c>
      <c r="AC196" s="31">
        <f t="shared" si="53"/>
        <v>0</v>
      </c>
      <c r="AD196" s="31">
        <f t="shared" si="53"/>
        <v>0</v>
      </c>
      <c r="AE196" s="31">
        <f t="shared" si="53"/>
        <v>150</v>
      </c>
      <c r="AF196" s="31">
        <f t="shared" si="53"/>
        <v>0</v>
      </c>
      <c r="AG196" s="31">
        <f t="shared" si="53"/>
        <v>0</v>
      </c>
      <c r="AH196" s="129" t="s">
        <v>916</v>
      </c>
      <c r="AI196" s="129" t="s">
        <v>916</v>
      </c>
      <c r="AJ196" s="129" t="s">
        <v>916</v>
      </c>
    </row>
    <row r="197" spans="1:36" ht="61.5" x14ac:dyDescent="0.85">
      <c r="A197" s="6">
        <v>1</v>
      </c>
      <c r="B197" s="66">
        <f>SUBTOTAL(103,$A$66:A197)</f>
        <v>106</v>
      </c>
      <c r="C197" s="131" t="s">
        <v>1646</v>
      </c>
      <c r="D197" s="89" t="s">
        <v>1437</v>
      </c>
      <c r="E197" s="69">
        <v>0.93410000000000004</v>
      </c>
      <c r="F197" s="31">
        <f>G197+H197+I197+J197+K197+L197+N197+P197+R197+T197+V197+W197+X197+Y197+Z197+AA197+AB197+AC197+AD197+AE197+AF197+AG197</f>
        <v>10150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3">
        <v>0</v>
      </c>
      <c r="N197" s="31">
        <v>0</v>
      </c>
      <c r="O197" s="31">
        <v>429.6</v>
      </c>
      <c r="P197" s="31">
        <v>10000</v>
      </c>
      <c r="Q197" s="31">
        <v>0</v>
      </c>
      <c r="R197" s="31">
        <v>0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1">
        <v>0</v>
      </c>
      <c r="Y197" s="31">
        <v>0</v>
      </c>
      <c r="Z197" s="31">
        <v>0</v>
      </c>
      <c r="AA197" s="31">
        <v>0</v>
      </c>
      <c r="AB197" s="31">
        <v>0</v>
      </c>
      <c r="AC197" s="31">
        <v>0</v>
      </c>
      <c r="AD197" s="31">
        <v>0</v>
      </c>
      <c r="AE197" s="31">
        <f>ROUND(P197*1.5%,2)</f>
        <v>150</v>
      </c>
      <c r="AF197" s="31">
        <v>0</v>
      </c>
      <c r="AG197" s="31">
        <v>0</v>
      </c>
      <c r="AH197" s="129" t="s">
        <v>274</v>
      </c>
      <c r="AI197" s="129">
        <v>2020</v>
      </c>
      <c r="AJ197" s="129">
        <v>2020</v>
      </c>
    </row>
  </sheetData>
  <autoFilter ref="A9:AK196" xr:uid="{5E6D25F9-BF3D-4403-93F6-70A5565027A9}"/>
  <mergeCells count="34">
    <mergeCell ref="B1:AJ1"/>
    <mergeCell ref="B2:AJ2"/>
    <mergeCell ref="C3:AJ3"/>
    <mergeCell ref="C4:AJ4"/>
    <mergeCell ref="B5:B8"/>
    <mergeCell ref="C5:C8"/>
    <mergeCell ref="D5:D8"/>
    <mergeCell ref="E5:E7"/>
    <mergeCell ref="F5:F7"/>
    <mergeCell ref="G5:V5"/>
    <mergeCell ref="W5:AG5"/>
    <mergeCell ref="AH5:AH8"/>
    <mergeCell ref="B10:AJ10"/>
    <mergeCell ref="W6:W7"/>
    <mergeCell ref="S6:T7"/>
    <mergeCell ref="M6:N7"/>
    <mergeCell ref="G6:L6"/>
    <mergeCell ref="U6:V7"/>
    <mergeCell ref="B64:C64"/>
    <mergeCell ref="B63:AJ63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AJ5:AJ8"/>
    <mergeCell ref="O6:P7"/>
    <mergeCell ref="Q6:R7"/>
    <mergeCell ref="AI5:AI8"/>
  </mergeCells>
  <phoneticPr fontId="44" type="noConversion"/>
  <pageMargins left="0.39370078740157483" right="0.39370078740157483" top="0.39370078740157483" bottom="0.39370078740157483" header="0" footer="0"/>
  <pageSetup paperSize="8" scale="1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03"/>
  <sheetViews>
    <sheetView topLeftCell="B4" zoomScale="30" zoomScaleNormal="30" workbookViewId="0">
      <selection activeCell="O10" sqref="O10:O60"/>
    </sheetView>
  </sheetViews>
  <sheetFormatPr defaultRowHeight="15" x14ac:dyDescent="0.25"/>
  <cols>
    <col min="1" max="1" width="9.140625" style="6" hidden="1" customWidth="1"/>
    <col min="2" max="2" width="15.85546875" style="6" customWidth="1"/>
    <col min="3" max="3" width="219.85546875" style="6" customWidth="1"/>
    <col min="4" max="4" width="21.42578125" style="6" customWidth="1"/>
    <col min="5" max="5" width="14.85546875" style="6" customWidth="1"/>
    <col min="6" max="6" width="74.28515625" style="6" customWidth="1"/>
    <col min="7" max="7" width="12.85546875" style="6" customWidth="1"/>
    <col min="8" max="8" width="13.85546875" style="6" customWidth="1"/>
    <col min="9" max="9" width="31.140625" style="6" customWidth="1"/>
    <col min="10" max="10" width="32.28515625" style="6" customWidth="1"/>
    <col min="11" max="11" width="32.5703125" style="6" customWidth="1"/>
    <col min="12" max="12" width="32.85546875" style="6" customWidth="1"/>
    <col min="13" max="13" width="42.28515625" style="6" customWidth="1"/>
    <col min="14" max="14" width="95.28515625" style="6" customWidth="1"/>
    <col min="15" max="15" width="45.5703125" style="6" customWidth="1"/>
    <col min="16" max="16" width="29.85546875" style="6" customWidth="1"/>
    <col min="17" max="17" width="25.5703125" style="6" customWidth="1"/>
    <col min="18" max="16384" width="9.140625" style="6"/>
  </cols>
  <sheetData>
    <row r="1" spans="1:17" ht="35.25" x14ac:dyDescent="0.5">
      <c r="B1" s="56"/>
      <c r="C1" s="56"/>
      <c r="D1" s="56"/>
      <c r="E1" s="56"/>
      <c r="F1" s="56"/>
      <c r="G1" s="57"/>
      <c r="H1" s="56"/>
      <c r="I1" s="56"/>
      <c r="J1" s="56"/>
      <c r="K1" s="56"/>
      <c r="L1" s="56"/>
      <c r="M1" s="107"/>
      <c r="N1" s="107"/>
      <c r="O1" s="255" t="s">
        <v>1079</v>
      </c>
      <c r="P1" s="255"/>
      <c r="Q1" s="255"/>
    </row>
    <row r="2" spans="1:17" ht="71.25" customHeight="1" x14ac:dyDescent="0.5">
      <c r="B2" s="56"/>
      <c r="C2" s="56"/>
      <c r="D2" s="56"/>
      <c r="E2" s="56"/>
      <c r="F2" s="56"/>
      <c r="G2" s="57"/>
      <c r="H2" s="56"/>
      <c r="I2" s="56"/>
      <c r="J2" s="56"/>
      <c r="K2" s="56"/>
      <c r="L2" s="56"/>
      <c r="M2" s="58"/>
      <c r="N2" s="256" t="s">
        <v>1080</v>
      </c>
      <c r="O2" s="256"/>
      <c r="P2" s="256"/>
      <c r="Q2" s="256"/>
    </row>
    <row r="3" spans="1:17" ht="201.75" customHeight="1" x14ac:dyDescent="0.25">
      <c r="B3" s="257" t="s">
        <v>1085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</row>
    <row r="4" spans="1:17" ht="35.25" x14ac:dyDescent="0.25">
      <c r="B4" s="258" t="s">
        <v>6</v>
      </c>
      <c r="C4" s="258" t="s">
        <v>1081</v>
      </c>
      <c r="D4" s="258" t="s">
        <v>254</v>
      </c>
      <c r="E4" s="259"/>
      <c r="F4" s="261" t="s">
        <v>255</v>
      </c>
      <c r="G4" s="262" t="s">
        <v>256</v>
      </c>
      <c r="H4" s="262" t="s">
        <v>257</v>
      </c>
      <c r="I4" s="261" t="s">
        <v>258</v>
      </c>
      <c r="J4" s="258" t="s">
        <v>259</v>
      </c>
      <c r="K4" s="259"/>
      <c r="L4" s="265" t="s">
        <v>1082</v>
      </c>
      <c r="M4" s="265" t="s">
        <v>1083</v>
      </c>
      <c r="N4" s="265" t="s">
        <v>260</v>
      </c>
      <c r="O4" s="270" t="s">
        <v>8</v>
      </c>
      <c r="P4" s="273" t="s">
        <v>262</v>
      </c>
      <c r="Q4" s="273" t="s">
        <v>263</v>
      </c>
    </row>
    <row r="5" spans="1:17" x14ac:dyDescent="0.25">
      <c r="B5" s="259"/>
      <c r="C5" s="259"/>
      <c r="D5" s="261" t="s">
        <v>264</v>
      </c>
      <c r="E5" s="262" t="s">
        <v>265</v>
      </c>
      <c r="F5" s="259"/>
      <c r="G5" s="263"/>
      <c r="H5" s="263"/>
      <c r="I5" s="259"/>
      <c r="J5" s="261" t="s">
        <v>266</v>
      </c>
      <c r="K5" s="262" t="s">
        <v>1084</v>
      </c>
      <c r="L5" s="266"/>
      <c r="M5" s="268"/>
      <c r="N5" s="268"/>
      <c r="O5" s="271"/>
      <c r="P5" s="274"/>
      <c r="Q5" s="274"/>
    </row>
    <row r="6" spans="1:17" ht="301.5" customHeight="1" x14ac:dyDescent="0.25">
      <c r="B6" s="259"/>
      <c r="C6" s="259"/>
      <c r="D6" s="259"/>
      <c r="E6" s="271"/>
      <c r="F6" s="259"/>
      <c r="G6" s="263"/>
      <c r="H6" s="263"/>
      <c r="I6" s="259"/>
      <c r="J6" s="259"/>
      <c r="K6" s="276"/>
      <c r="L6" s="267"/>
      <c r="M6" s="268"/>
      <c r="N6" s="268"/>
      <c r="O6" s="272"/>
      <c r="P6" s="274"/>
      <c r="Q6" s="274"/>
    </row>
    <row r="7" spans="1:17" ht="35.25" x14ac:dyDescent="0.25">
      <c r="B7" s="260"/>
      <c r="C7" s="260"/>
      <c r="D7" s="260"/>
      <c r="E7" s="275"/>
      <c r="F7" s="259"/>
      <c r="G7" s="264"/>
      <c r="H7" s="264"/>
      <c r="I7" s="59" t="s">
        <v>38</v>
      </c>
      <c r="J7" s="59" t="s">
        <v>38</v>
      </c>
      <c r="K7" s="59" t="s">
        <v>38</v>
      </c>
      <c r="L7" s="59" t="s">
        <v>269</v>
      </c>
      <c r="M7" s="269"/>
      <c r="N7" s="269"/>
      <c r="O7" s="59" t="s">
        <v>36</v>
      </c>
      <c r="P7" s="59" t="s">
        <v>270</v>
      </c>
      <c r="Q7" s="59" t="s">
        <v>270</v>
      </c>
    </row>
    <row r="8" spans="1:17" ht="35.25" x14ac:dyDescent="0.25">
      <c r="B8" s="59">
        <v>1</v>
      </c>
      <c r="C8" s="59">
        <v>2</v>
      </c>
      <c r="D8" s="59">
        <v>3</v>
      </c>
      <c r="E8" s="59">
        <v>4</v>
      </c>
      <c r="F8" s="59">
        <v>5</v>
      </c>
      <c r="G8" s="60">
        <v>5.5697674418604599</v>
      </c>
      <c r="H8" s="60">
        <v>7</v>
      </c>
      <c r="I8" s="60">
        <v>8</v>
      </c>
      <c r="J8" s="60">
        <v>9</v>
      </c>
      <c r="K8" s="60">
        <v>10</v>
      </c>
      <c r="L8" s="59">
        <v>11</v>
      </c>
      <c r="M8" s="60">
        <v>12</v>
      </c>
      <c r="N8" s="60">
        <v>13</v>
      </c>
      <c r="O8" s="60">
        <v>14</v>
      </c>
      <c r="P8" s="60">
        <v>15</v>
      </c>
      <c r="Q8" s="60">
        <v>16</v>
      </c>
    </row>
    <row r="9" spans="1:17" ht="45.75" x14ac:dyDescent="0.25">
      <c r="B9" s="252" t="s">
        <v>1044</v>
      </c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4"/>
    </row>
    <row r="10" spans="1:17" ht="35.25" x14ac:dyDescent="0.4">
      <c r="B10" s="98" t="s">
        <v>1078</v>
      </c>
      <c r="C10" s="99"/>
      <c r="D10" s="94" t="s">
        <v>916</v>
      </c>
      <c r="E10" s="94" t="s">
        <v>916</v>
      </c>
      <c r="F10" s="94" t="s">
        <v>916</v>
      </c>
      <c r="G10" s="94" t="s">
        <v>916</v>
      </c>
      <c r="H10" s="94" t="s">
        <v>916</v>
      </c>
      <c r="I10" s="96">
        <f>I11+I13+I22+I26+I28+I31+I34+I38+I40+I42+I46+I48+I50+I52+I56+I24+I58+I60</f>
        <v>30909.18</v>
      </c>
      <c r="J10" s="96">
        <f>J11+J13+J22+J26+J28+J31+J34+J38+J40+J42+J46+J48+J50+J52+J56+J24+J58+J60</f>
        <v>23746.31</v>
      </c>
      <c r="K10" s="96">
        <f>K11+K13+K22+K26+K28+K31+K34+K38+K40+K42+K46+K48+K50+K52+K56+K24+K58+K60</f>
        <v>21066.809999999994</v>
      </c>
      <c r="L10" s="101">
        <f>L11+L13+L22+L26+L28+L31+L34+L38+L40+L42+L46+L48+L50+L52+L56+L24+L58+L60</f>
        <v>1298</v>
      </c>
      <c r="M10" s="94" t="s">
        <v>916</v>
      </c>
      <c r="N10" s="94" t="s">
        <v>916</v>
      </c>
      <c r="O10" s="96">
        <v>82971160.886453196</v>
      </c>
      <c r="P10" s="95">
        <f>O10/I10</f>
        <v>2684.3533502491232</v>
      </c>
      <c r="Q10" s="95">
        <f>MAX(Q11:Q61)</f>
        <v>9248.7839729119642</v>
      </c>
    </row>
    <row r="11" spans="1:17" ht="35.25" x14ac:dyDescent="0.4">
      <c r="B11" s="98" t="s">
        <v>840</v>
      </c>
      <c r="C11" s="99"/>
      <c r="D11" s="94" t="s">
        <v>916</v>
      </c>
      <c r="E11" s="94" t="s">
        <v>916</v>
      </c>
      <c r="F11" s="94" t="s">
        <v>916</v>
      </c>
      <c r="G11" s="94" t="s">
        <v>916</v>
      </c>
      <c r="H11" s="94" t="s">
        <v>916</v>
      </c>
      <c r="I11" s="96">
        <f>I12</f>
        <v>792.7</v>
      </c>
      <c r="J11" s="96">
        <f>J12</f>
        <v>481</v>
      </c>
      <c r="K11" s="96">
        <f>K12</f>
        <v>481</v>
      </c>
      <c r="L11" s="101">
        <f>L12</f>
        <v>42</v>
      </c>
      <c r="M11" s="94" t="s">
        <v>916</v>
      </c>
      <c r="N11" s="94" t="s">
        <v>916</v>
      </c>
      <c r="O11" s="95">
        <v>2320165.87</v>
      </c>
      <c r="P11" s="95">
        <f t="shared" ref="P11:P61" si="0">O11/I11</f>
        <v>2926.9154408981958</v>
      </c>
      <c r="Q11" s="95">
        <f>MAX(Q12)</f>
        <v>4575.8496278541688</v>
      </c>
    </row>
    <row r="12" spans="1:17" ht="35.25" x14ac:dyDescent="0.5">
      <c r="A12" s="6">
        <v>1</v>
      </c>
      <c r="B12" s="92">
        <f>SUBTOTAL(103,$A12:A$12)</f>
        <v>1</v>
      </c>
      <c r="C12" s="100" t="s">
        <v>1047</v>
      </c>
      <c r="D12" s="94">
        <v>1969</v>
      </c>
      <c r="E12" s="94"/>
      <c r="F12" s="94" t="s">
        <v>273</v>
      </c>
      <c r="G12" s="94">
        <v>2</v>
      </c>
      <c r="H12" s="94">
        <v>2</v>
      </c>
      <c r="I12" s="96">
        <v>792.7</v>
      </c>
      <c r="J12" s="96">
        <v>481</v>
      </c>
      <c r="K12" s="96">
        <f>J12</f>
        <v>481</v>
      </c>
      <c r="L12" s="101">
        <v>42</v>
      </c>
      <c r="M12" s="94" t="s">
        <v>272</v>
      </c>
      <c r="N12" s="94" t="s">
        <v>274</v>
      </c>
      <c r="O12" s="95">
        <v>2320165.87</v>
      </c>
      <c r="P12" s="95">
        <f t="shared" si="0"/>
        <v>2926.9154408981958</v>
      </c>
      <c r="Q12" s="95">
        <v>4575.8496278541688</v>
      </c>
    </row>
    <row r="13" spans="1:17" ht="35.25" x14ac:dyDescent="0.4">
      <c r="B13" s="100" t="s">
        <v>1074</v>
      </c>
      <c r="C13" s="100"/>
      <c r="D13" s="94" t="s">
        <v>916</v>
      </c>
      <c r="E13" s="94" t="s">
        <v>916</v>
      </c>
      <c r="F13" s="94" t="s">
        <v>916</v>
      </c>
      <c r="G13" s="94" t="s">
        <v>916</v>
      </c>
      <c r="H13" s="94" t="s">
        <v>916</v>
      </c>
      <c r="I13" s="96">
        <f>SUM(I14:I21)</f>
        <v>10686.5</v>
      </c>
      <c r="J13" s="96">
        <f>SUM(J14:J21)</f>
        <v>7066.0000000000018</v>
      </c>
      <c r="K13" s="96">
        <f>SUM(K14:K21)</f>
        <v>6558.9</v>
      </c>
      <c r="L13" s="101">
        <f>SUM(L14:L21)</f>
        <v>373</v>
      </c>
      <c r="M13" s="94" t="s">
        <v>916</v>
      </c>
      <c r="N13" s="94" t="s">
        <v>916</v>
      </c>
      <c r="O13" s="95">
        <v>22023333.006305423</v>
      </c>
      <c r="P13" s="95">
        <f t="shared" si="0"/>
        <v>2060.8555660230591</v>
      </c>
      <c r="Q13" s="95">
        <f>MAX(Q14:Q21)</f>
        <v>9248.7839729119642</v>
      </c>
    </row>
    <row r="14" spans="1:17" ht="35.25" x14ac:dyDescent="0.5">
      <c r="A14" s="6">
        <v>1</v>
      </c>
      <c r="B14" s="92">
        <f>SUBTOTAL(103,$A$12:A14)</f>
        <v>2</v>
      </c>
      <c r="C14" s="100" t="s">
        <v>1048</v>
      </c>
      <c r="D14" s="94">
        <v>1958</v>
      </c>
      <c r="E14" s="94"/>
      <c r="F14" s="94" t="s">
        <v>273</v>
      </c>
      <c r="G14" s="94">
        <v>5</v>
      </c>
      <c r="H14" s="94">
        <v>4</v>
      </c>
      <c r="I14" s="96">
        <v>5229.2</v>
      </c>
      <c r="J14" s="96">
        <v>2434.1</v>
      </c>
      <c r="K14" s="96">
        <f>J14-227.6</f>
        <v>2206.5</v>
      </c>
      <c r="L14" s="101">
        <v>121</v>
      </c>
      <c r="M14" s="94" t="s">
        <v>349</v>
      </c>
      <c r="N14" s="94" t="s">
        <v>1086</v>
      </c>
      <c r="O14" s="95">
        <v>7302960</v>
      </c>
      <c r="P14" s="95">
        <f t="shared" si="0"/>
        <v>1396.5730895739312</v>
      </c>
      <c r="Q14" s="95">
        <v>1801.0827916316075</v>
      </c>
    </row>
    <row r="15" spans="1:17" ht="35.25" x14ac:dyDescent="0.5">
      <c r="A15" s="6">
        <v>1</v>
      </c>
      <c r="B15" s="92">
        <f>SUBTOTAL(103,$A$12:A15)</f>
        <v>3</v>
      </c>
      <c r="C15" s="100" t="s">
        <v>1049</v>
      </c>
      <c r="D15" s="94">
        <v>1979</v>
      </c>
      <c r="E15" s="94"/>
      <c r="F15" s="94" t="s">
        <v>273</v>
      </c>
      <c r="G15" s="94">
        <v>5</v>
      </c>
      <c r="H15" s="94">
        <v>1</v>
      </c>
      <c r="I15" s="96">
        <v>802.1</v>
      </c>
      <c r="J15" s="96">
        <v>554.20000000000005</v>
      </c>
      <c r="K15" s="96">
        <f>J15</f>
        <v>554.20000000000005</v>
      </c>
      <c r="L15" s="101">
        <v>25</v>
      </c>
      <c r="M15" s="94" t="s">
        <v>275</v>
      </c>
      <c r="N15" s="94" t="s">
        <v>1087</v>
      </c>
      <c r="O15" s="95">
        <v>1077000</v>
      </c>
      <c r="P15" s="95">
        <f t="shared" si="0"/>
        <v>1342.725345966837</v>
      </c>
      <c r="Q15" s="95">
        <v>1808.8896646303451</v>
      </c>
    </row>
    <row r="16" spans="1:17" ht="35.25" x14ac:dyDescent="0.5">
      <c r="A16" s="6">
        <v>1</v>
      </c>
      <c r="B16" s="92">
        <f>SUBTOTAL(103,$A$12:A16)</f>
        <v>4</v>
      </c>
      <c r="C16" s="100" t="s">
        <v>1050</v>
      </c>
      <c r="D16" s="94">
        <v>1961</v>
      </c>
      <c r="E16" s="94"/>
      <c r="F16" s="94" t="s">
        <v>273</v>
      </c>
      <c r="G16" s="94">
        <v>2</v>
      </c>
      <c r="H16" s="94">
        <v>1</v>
      </c>
      <c r="I16" s="96">
        <v>301.39999999999998</v>
      </c>
      <c r="J16" s="96">
        <v>276.5</v>
      </c>
      <c r="K16" s="96">
        <f>J16-38</f>
        <v>238.5</v>
      </c>
      <c r="L16" s="101">
        <v>16</v>
      </c>
      <c r="M16" s="94" t="s">
        <v>275</v>
      </c>
      <c r="N16" s="94" t="s">
        <v>1025</v>
      </c>
      <c r="O16" s="95">
        <v>1153050</v>
      </c>
      <c r="P16" s="95">
        <f t="shared" si="0"/>
        <v>3825.6469807564699</v>
      </c>
      <c r="Q16" s="95">
        <v>5154.8879230258799</v>
      </c>
    </row>
    <row r="17" spans="1:17" ht="35.25" x14ac:dyDescent="0.5">
      <c r="A17" s="6">
        <v>1</v>
      </c>
      <c r="B17" s="92">
        <f>SUBTOTAL(103,$A$12:A17)</f>
        <v>5</v>
      </c>
      <c r="C17" s="100" t="s">
        <v>1063</v>
      </c>
      <c r="D17" s="94">
        <v>1957</v>
      </c>
      <c r="E17" s="94"/>
      <c r="F17" s="94" t="s">
        <v>273</v>
      </c>
      <c r="G17" s="94">
        <v>2</v>
      </c>
      <c r="H17" s="94">
        <v>1</v>
      </c>
      <c r="I17" s="96">
        <v>272.39999999999998</v>
      </c>
      <c r="J17" s="96">
        <v>194.8</v>
      </c>
      <c r="K17" s="96">
        <f>J17-37.2</f>
        <v>157.60000000000002</v>
      </c>
      <c r="L17" s="101">
        <v>14</v>
      </c>
      <c r="M17" s="94" t="s">
        <v>275</v>
      </c>
      <c r="N17" s="94" t="s">
        <v>1088</v>
      </c>
      <c r="O17" s="95">
        <v>1498190.9963054184</v>
      </c>
      <c r="P17" s="95">
        <f t="shared" si="0"/>
        <v>5499.9669467893482</v>
      </c>
      <c r="Q17" s="95">
        <v>8971.918502202645</v>
      </c>
    </row>
    <row r="18" spans="1:17" ht="35.25" x14ac:dyDescent="0.5">
      <c r="A18" s="6">
        <v>1</v>
      </c>
      <c r="B18" s="92">
        <f>SUBTOTAL(103,$A$12:A18)</f>
        <v>6</v>
      </c>
      <c r="C18" s="100" t="s">
        <v>1108</v>
      </c>
      <c r="D18" s="94">
        <v>1960</v>
      </c>
      <c r="E18" s="94"/>
      <c r="F18" s="94" t="s">
        <v>273</v>
      </c>
      <c r="G18" s="94">
        <v>4</v>
      </c>
      <c r="H18" s="94">
        <v>4</v>
      </c>
      <c r="I18" s="96">
        <v>2738.8</v>
      </c>
      <c r="J18" s="96">
        <v>2498.1</v>
      </c>
      <c r="K18" s="96">
        <f>2498.1-114.3</f>
        <v>2383.7999999999997</v>
      </c>
      <c r="L18" s="101">
        <v>128</v>
      </c>
      <c r="M18" s="94" t="s">
        <v>275</v>
      </c>
      <c r="N18" s="94" t="s">
        <v>1107</v>
      </c>
      <c r="O18" s="95">
        <v>3773900</v>
      </c>
      <c r="P18" s="95">
        <f t="shared" si="0"/>
        <v>1377.9392434642909</v>
      </c>
      <c r="Q18" s="95">
        <v>1843.1280487804875</v>
      </c>
    </row>
    <row r="19" spans="1:17" ht="35.25" x14ac:dyDescent="0.5">
      <c r="A19" s="6">
        <v>1</v>
      </c>
      <c r="B19" s="92">
        <f>SUBTOTAL(103,$A$12:A19)</f>
        <v>7</v>
      </c>
      <c r="C19" s="91" t="s">
        <v>1115</v>
      </c>
      <c r="D19" s="94">
        <v>1956</v>
      </c>
      <c r="E19" s="94"/>
      <c r="F19" s="94" t="s">
        <v>273</v>
      </c>
      <c r="G19" s="94">
        <v>2</v>
      </c>
      <c r="H19" s="94">
        <v>1</v>
      </c>
      <c r="I19" s="96">
        <v>443</v>
      </c>
      <c r="J19" s="96">
        <v>397.1</v>
      </c>
      <c r="K19" s="96">
        <v>353.4</v>
      </c>
      <c r="L19" s="101">
        <v>24</v>
      </c>
      <c r="M19" s="94" t="s">
        <v>275</v>
      </c>
      <c r="N19" s="94" t="s">
        <v>1107</v>
      </c>
      <c r="O19" s="95">
        <v>2830500</v>
      </c>
      <c r="P19" s="95">
        <f t="shared" si="0"/>
        <v>6389.3905191873591</v>
      </c>
      <c r="Q19" s="95">
        <v>9248.7839729119642</v>
      </c>
    </row>
    <row r="20" spans="1:17" ht="35.25" x14ac:dyDescent="0.5">
      <c r="A20" s="6">
        <v>1</v>
      </c>
      <c r="B20" s="92">
        <f>SUBTOTAL(103,$A$12:A20)</f>
        <v>8</v>
      </c>
      <c r="C20" s="91" t="s">
        <v>1116</v>
      </c>
      <c r="D20" s="94">
        <v>1956</v>
      </c>
      <c r="E20" s="94"/>
      <c r="F20" s="94" t="s">
        <v>273</v>
      </c>
      <c r="G20" s="94">
        <v>2</v>
      </c>
      <c r="H20" s="94">
        <v>1</v>
      </c>
      <c r="I20" s="96">
        <v>512.5</v>
      </c>
      <c r="J20" s="96">
        <v>324.10000000000002</v>
      </c>
      <c r="K20" s="96">
        <v>324.10000000000002</v>
      </c>
      <c r="L20" s="101">
        <v>25</v>
      </c>
      <c r="M20" s="94" t="s">
        <v>275</v>
      </c>
      <c r="N20" s="94" t="s">
        <v>1088</v>
      </c>
      <c r="O20" s="95">
        <v>2372807.9900000002</v>
      </c>
      <c r="P20" s="95">
        <f t="shared" si="0"/>
        <v>4629.8692487804883</v>
      </c>
      <c r="Q20" s="95">
        <v>6487.8107317073172</v>
      </c>
    </row>
    <row r="21" spans="1:17" ht="35.25" x14ac:dyDescent="0.5">
      <c r="A21" s="6">
        <v>1</v>
      </c>
      <c r="B21" s="92">
        <f>SUBTOTAL(103,$A$12:A21)</f>
        <v>9</v>
      </c>
      <c r="C21" s="91" t="s">
        <v>1432</v>
      </c>
      <c r="D21" s="94">
        <v>1957</v>
      </c>
      <c r="E21" s="94"/>
      <c r="F21" s="94" t="s">
        <v>273</v>
      </c>
      <c r="G21" s="94">
        <v>2</v>
      </c>
      <c r="H21" s="94">
        <v>1</v>
      </c>
      <c r="I21" s="96">
        <v>387.1</v>
      </c>
      <c r="J21" s="96">
        <v>387.1</v>
      </c>
      <c r="K21" s="96">
        <v>340.8</v>
      </c>
      <c r="L21" s="101">
        <v>20</v>
      </c>
      <c r="M21" s="94" t="s">
        <v>275</v>
      </c>
      <c r="N21" s="94" t="s">
        <v>1433</v>
      </c>
      <c r="O21" s="95">
        <v>2014924.02</v>
      </c>
      <c r="P21" s="95">
        <f t="shared" si="0"/>
        <v>5205.1770085249291</v>
      </c>
      <c r="Q21" s="95">
        <v>5559.7617153190395</v>
      </c>
    </row>
    <row r="22" spans="1:17" ht="35.25" x14ac:dyDescent="0.4">
      <c r="B22" s="100" t="s">
        <v>844</v>
      </c>
      <c r="C22" s="100"/>
      <c r="D22" s="94" t="s">
        <v>916</v>
      </c>
      <c r="E22" s="94" t="s">
        <v>916</v>
      </c>
      <c r="F22" s="94" t="s">
        <v>916</v>
      </c>
      <c r="G22" s="94" t="s">
        <v>916</v>
      </c>
      <c r="H22" s="94" t="s">
        <v>916</v>
      </c>
      <c r="I22" s="96">
        <f>I23</f>
        <v>882.3</v>
      </c>
      <c r="J22" s="96">
        <f>J23</f>
        <v>779.5</v>
      </c>
      <c r="K22" s="96">
        <f>K23</f>
        <v>779.5</v>
      </c>
      <c r="L22" s="101">
        <f>L23</f>
        <v>29</v>
      </c>
      <c r="M22" s="94" t="s">
        <v>916</v>
      </c>
      <c r="N22" s="94" t="s">
        <v>916</v>
      </c>
      <c r="O22" s="95">
        <v>2206512.27</v>
      </c>
      <c r="P22" s="95">
        <f t="shared" si="0"/>
        <v>2500.8639578374705</v>
      </c>
      <c r="Q22" s="95">
        <f>Q23</f>
        <v>1964.7916298311234</v>
      </c>
    </row>
    <row r="23" spans="1:17" ht="35.25" x14ac:dyDescent="0.5">
      <c r="A23" s="6">
        <v>1</v>
      </c>
      <c r="B23" s="92">
        <f>SUBTOTAL(103,$A$12:A23)</f>
        <v>10</v>
      </c>
      <c r="C23" s="100" t="s">
        <v>699</v>
      </c>
      <c r="D23" s="94">
        <v>1982</v>
      </c>
      <c r="E23" s="94"/>
      <c r="F23" s="94" t="s">
        <v>273</v>
      </c>
      <c r="G23" s="94">
        <v>4</v>
      </c>
      <c r="H23" s="94">
        <v>1</v>
      </c>
      <c r="I23" s="96">
        <v>882.3</v>
      </c>
      <c r="J23" s="96">
        <v>779.5</v>
      </c>
      <c r="K23" s="96">
        <f>J23</f>
        <v>779.5</v>
      </c>
      <c r="L23" s="101">
        <v>29</v>
      </c>
      <c r="M23" s="94" t="s">
        <v>272</v>
      </c>
      <c r="N23" s="94" t="s">
        <v>274</v>
      </c>
      <c r="O23" s="95">
        <v>2206512.27</v>
      </c>
      <c r="P23" s="95">
        <f t="shared" si="0"/>
        <v>2500.8639578374705</v>
      </c>
      <c r="Q23" s="95">
        <v>1964.7916298311234</v>
      </c>
    </row>
    <row r="24" spans="1:17" ht="35.25" x14ac:dyDescent="0.5">
      <c r="B24" s="135" t="s">
        <v>848</v>
      </c>
      <c r="C24" s="100"/>
      <c r="D24" s="94" t="s">
        <v>916</v>
      </c>
      <c r="E24" s="94" t="s">
        <v>916</v>
      </c>
      <c r="F24" s="94" t="s">
        <v>916</v>
      </c>
      <c r="G24" s="94" t="s">
        <v>916</v>
      </c>
      <c r="H24" s="94" t="s">
        <v>916</v>
      </c>
      <c r="I24" s="96">
        <f>I25</f>
        <v>1813.2</v>
      </c>
      <c r="J24" s="96">
        <f>J25</f>
        <v>1042.3</v>
      </c>
      <c r="K24" s="96">
        <f>K25</f>
        <v>567</v>
      </c>
      <c r="L24" s="101">
        <f>L25</f>
        <v>156</v>
      </c>
      <c r="M24" s="94" t="s">
        <v>916</v>
      </c>
      <c r="N24" s="94" t="s">
        <v>916</v>
      </c>
      <c r="O24" s="95">
        <v>6235729.1299999999</v>
      </c>
      <c r="P24" s="95">
        <f t="shared" si="0"/>
        <v>3439.0740844915067</v>
      </c>
      <c r="Q24" s="95">
        <f>Q25</f>
        <v>4167.6731744981244</v>
      </c>
    </row>
    <row r="25" spans="1:17" ht="35.25" x14ac:dyDescent="0.5">
      <c r="A25" s="6">
        <v>1</v>
      </c>
      <c r="B25" s="92">
        <f>SUBTOTAL(103,$A$12:A25)</f>
        <v>11</v>
      </c>
      <c r="C25" s="100" t="s">
        <v>1098</v>
      </c>
      <c r="D25" s="94">
        <v>2007</v>
      </c>
      <c r="E25" s="94"/>
      <c r="F25" s="94" t="s">
        <v>273</v>
      </c>
      <c r="G25" s="94">
        <v>3</v>
      </c>
      <c r="H25" s="94">
        <v>3</v>
      </c>
      <c r="I25" s="96">
        <v>1813.2</v>
      </c>
      <c r="J25" s="96">
        <v>1042.3</v>
      </c>
      <c r="K25" s="96">
        <f>J25-475.3</f>
        <v>567</v>
      </c>
      <c r="L25" s="101">
        <v>156</v>
      </c>
      <c r="M25" s="94" t="s">
        <v>275</v>
      </c>
      <c r="N25" s="94" t="s">
        <v>1100</v>
      </c>
      <c r="O25" s="95">
        <v>6235729.1299999999</v>
      </c>
      <c r="P25" s="95">
        <f t="shared" si="0"/>
        <v>3439.0740844915067</v>
      </c>
      <c r="Q25" s="95">
        <v>4167.6731744981244</v>
      </c>
    </row>
    <row r="26" spans="1:17" ht="35.25" x14ac:dyDescent="0.4">
      <c r="B26" s="100" t="s">
        <v>849</v>
      </c>
      <c r="C26" s="100"/>
      <c r="D26" s="94" t="s">
        <v>916</v>
      </c>
      <c r="E26" s="94" t="s">
        <v>916</v>
      </c>
      <c r="F26" s="94" t="s">
        <v>916</v>
      </c>
      <c r="G26" s="94" t="s">
        <v>916</v>
      </c>
      <c r="H26" s="94" t="s">
        <v>916</v>
      </c>
      <c r="I26" s="96">
        <f>I27</f>
        <v>366.5</v>
      </c>
      <c r="J26" s="96">
        <f>J27</f>
        <v>336.9</v>
      </c>
      <c r="K26" s="96">
        <f>K27</f>
        <v>336.9</v>
      </c>
      <c r="L26" s="101">
        <f>L27</f>
        <v>13</v>
      </c>
      <c r="M26" s="94" t="s">
        <v>916</v>
      </c>
      <c r="N26" s="94" t="s">
        <v>916</v>
      </c>
      <c r="O26" s="95">
        <v>1375440</v>
      </c>
      <c r="P26" s="95">
        <f t="shared" si="0"/>
        <v>3752.905866302865</v>
      </c>
      <c r="Q26" s="95">
        <f>Q27</f>
        <v>4829.7699536152795</v>
      </c>
    </row>
    <row r="27" spans="1:17" ht="35.25" x14ac:dyDescent="0.5">
      <c r="A27" s="6">
        <v>1</v>
      </c>
      <c r="B27" s="92">
        <f>SUBTOTAL(103,$A$12:A27)</f>
        <v>12</v>
      </c>
      <c r="C27" s="100" t="s">
        <v>1051</v>
      </c>
      <c r="D27" s="94">
        <v>1971</v>
      </c>
      <c r="E27" s="94"/>
      <c r="F27" s="94" t="s">
        <v>273</v>
      </c>
      <c r="G27" s="94">
        <v>2</v>
      </c>
      <c r="H27" s="94">
        <v>1</v>
      </c>
      <c r="I27" s="96">
        <v>366.5</v>
      </c>
      <c r="J27" s="96">
        <v>336.9</v>
      </c>
      <c r="K27" s="96">
        <f>J27</f>
        <v>336.9</v>
      </c>
      <c r="L27" s="101">
        <v>13</v>
      </c>
      <c r="M27" s="94" t="s">
        <v>275</v>
      </c>
      <c r="N27" s="94" t="s">
        <v>341</v>
      </c>
      <c r="O27" s="95">
        <v>1375440</v>
      </c>
      <c r="P27" s="95">
        <f t="shared" si="0"/>
        <v>3752.905866302865</v>
      </c>
      <c r="Q27" s="95">
        <v>4829.7699536152795</v>
      </c>
    </row>
    <row r="28" spans="1:17" ht="35.25" x14ac:dyDescent="0.4">
      <c r="B28" s="100" t="s">
        <v>1075</v>
      </c>
      <c r="C28" s="100"/>
      <c r="D28" s="94" t="s">
        <v>916</v>
      </c>
      <c r="E28" s="94" t="s">
        <v>916</v>
      </c>
      <c r="F28" s="94" t="s">
        <v>916</v>
      </c>
      <c r="G28" s="94" t="s">
        <v>916</v>
      </c>
      <c r="H28" s="94" t="s">
        <v>916</v>
      </c>
      <c r="I28" s="96">
        <f>I29+I30</f>
        <v>874.3</v>
      </c>
      <c r="J28" s="96">
        <f>J29+J30</f>
        <v>820.40000000000009</v>
      </c>
      <c r="K28" s="96">
        <f>K29+K30</f>
        <v>653.30000000000007</v>
      </c>
      <c r="L28" s="101">
        <f>L29+L30</f>
        <v>38</v>
      </c>
      <c r="M28" s="94" t="s">
        <v>916</v>
      </c>
      <c r="N28" s="94" t="s">
        <v>916</v>
      </c>
      <c r="O28" s="95">
        <v>3273930.5601477833</v>
      </c>
      <c r="P28" s="95">
        <f t="shared" si="0"/>
        <v>3744.6306303874912</v>
      </c>
      <c r="Q28" s="95">
        <f>MAX(Q29:Q30)</f>
        <v>7636.1902692878348</v>
      </c>
    </row>
    <row r="29" spans="1:17" ht="35.25" x14ac:dyDescent="0.5">
      <c r="A29" s="6">
        <v>1</v>
      </c>
      <c r="B29" s="92">
        <f>SUBTOTAL(103,$A$12:A29)</f>
        <v>13</v>
      </c>
      <c r="C29" s="100" t="s">
        <v>1052</v>
      </c>
      <c r="D29" s="94">
        <v>1938</v>
      </c>
      <c r="E29" s="94"/>
      <c r="F29" s="94" t="s">
        <v>338</v>
      </c>
      <c r="G29" s="94">
        <v>2</v>
      </c>
      <c r="H29" s="94">
        <v>2</v>
      </c>
      <c r="I29" s="96">
        <v>469.9</v>
      </c>
      <c r="J29" s="96">
        <v>418.1</v>
      </c>
      <c r="K29" s="96">
        <f>J29-167.1</f>
        <v>251.00000000000003</v>
      </c>
      <c r="L29" s="101">
        <v>19</v>
      </c>
      <c r="M29" s="94" t="s">
        <v>272</v>
      </c>
      <c r="N29" s="94" t="s">
        <v>274</v>
      </c>
      <c r="O29" s="95">
        <v>1784676.59</v>
      </c>
      <c r="P29" s="95">
        <f t="shared" si="0"/>
        <v>3797.9923175143649</v>
      </c>
      <c r="Q29" s="95">
        <v>4888.8589061502444</v>
      </c>
    </row>
    <row r="30" spans="1:17" ht="35.25" x14ac:dyDescent="0.5">
      <c r="A30" s="6">
        <v>1</v>
      </c>
      <c r="B30" s="92">
        <f>SUBTOTAL(103,$A$12:A30)</f>
        <v>14</v>
      </c>
      <c r="C30" s="100" t="s">
        <v>1053</v>
      </c>
      <c r="D30" s="94">
        <v>1950</v>
      </c>
      <c r="E30" s="94"/>
      <c r="F30" s="94" t="s">
        <v>338</v>
      </c>
      <c r="G30" s="94">
        <v>2</v>
      </c>
      <c r="H30" s="94">
        <v>2</v>
      </c>
      <c r="I30" s="96">
        <v>404.4</v>
      </c>
      <c r="J30" s="96">
        <v>402.3</v>
      </c>
      <c r="K30" s="96">
        <f>J30</f>
        <v>402.3</v>
      </c>
      <c r="L30" s="101">
        <v>19</v>
      </c>
      <c r="M30" s="94" t="s">
        <v>272</v>
      </c>
      <c r="N30" s="94" t="s">
        <v>274</v>
      </c>
      <c r="O30" s="95">
        <v>1489253.9701477832</v>
      </c>
      <c r="P30" s="95">
        <f t="shared" si="0"/>
        <v>3682.6260389411059</v>
      </c>
      <c r="Q30" s="95">
        <v>7636.1902692878348</v>
      </c>
    </row>
    <row r="31" spans="1:17" ht="35.25" x14ac:dyDescent="0.4">
      <c r="B31" s="100" t="s">
        <v>856</v>
      </c>
      <c r="C31" s="100"/>
      <c r="D31" s="94" t="s">
        <v>916</v>
      </c>
      <c r="E31" s="94" t="s">
        <v>916</v>
      </c>
      <c r="F31" s="94" t="s">
        <v>916</v>
      </c>
      <c r="G31" s="94" t="s">
        <v>916</v>
      </c>
      <c r="H31" s="94" t="s">
        <v>916</v>
      </c>
      <c r="I31" s="96">
        <f>I32+I33</f>
        <v>845.48</v>
      </c>
      <c r="J31" s="96">
        <f>J32+J33</f>
        <v>724.81000000000006</v>
      </c>
      <c r="K31" s="96">
        <f>K32+K33</f>
        <v>544.31000000000006</v>
      </c>
      <c r="L31" s="101">
        <f>L32+L33</f>
        <v>48</v>
      </c>
      <c r="M31" s="94" t="s">
        <v>916</v>
      </c>
      <c r="N31" s="94" t="s">
        <v>916</v>
      </c>
      <c r="O31" s="95">
        <v>3465600.02</v>
      </c>
      <c r="P31" s="95">
        <f t="shared" si="0"/>
        <v>4098.9733878979987</v>
      </c>
      <c r="Q31" s="95">
        <f>MAX(Q32:Q33)</f>
        <v>5794.5821210374643</v>
      </c>
    </row>
    <row r="32" spans="1:17" ht="35.25" x14ac:dyDescent="0.5">
      <c r="A32" s="6">
        <v>1</v>
      </c>
      <c r="B32" s="92">
        <f>SUBTOTAL(103,$A$12:A32)</f>
        <v>15</v>
      </c>
      <c r="C32" s="100" t="s">
        <v>1073</v>
      </c>
      <c r="D32" s="94">
        <v>1962</v>
      </c>
      <c r="E32" s="94"/>
      <c r="F32" s="94" t="s">
        <v>273</v>
      </c>
      <c r="G32" s="94">
        <v>2</v>
      </c>
      <c r="H32" s="94">
        <v>2</v>
      </c>
      <c r="I32" s="96">
        <v>671.98</v>
      </c>
      <c r="J32" s="96">
        <v>624.21</v>
      </c>
      <c r="K32" s="96">
        <f>J32-79.9</f>
        <v>544.31000000000006</v>
      </c>
      <c r="L32" s="101">
        <v>38</v>
      </c>
      <c r="M32" s="94" t="s">
        <v>275</v>
      </c>
      <c r="N32" s="94" t="s">
        <v>291</v>
      </c>
      <c r="O32" s="95">
        <v>2667360.02</v>
      </c>
      <c r="P32" s="95">
        <f t="shared" si="0"/>
        <v>3969.403881067889</v>
      </c>
      <c r="Q32" s="95">
        <v>4999.3483764397752</v>
      </c>
    </row>
    <row r="33" spans="1:17" ht="35.25" x14ac:dyDescent="0.5">
      <c r="A33" s="6">
        <v>1</v>
      </c>
      <c r="B33" s="92">
        <f>SUBTOTAL(103,$A$12:A33)</f>
        <v>16</v>
      </c>
      <c r="C33" s="100" t="s">
        <v>1054</v>
      </c>
      <c r="D33" s="94">
        <v>1964</v>
      </c>
      <c r="E33" s="94"/>
      <c r="F33" s="94" t="s">
        <v>273</v>
      </c>
      <c r="G33" s="94">
        <v>2</v>
      </c>
      <c r="H33" s="94">
        <v>1</v>
      </c>
      <c r="I33" s="96">
        <v>173.5</v>
      </c>
      <c r="J33" s="96">
        <v>100.6</v>
      </c>
      <c r="K33" s="96">
        <v>0</v>
      </c>
      <c r="L33" s="101">
        <v>10</v>
      </c>
      <c r="M33" s="94" t="s">
        <v>272</v>
      </c>
      <c r="N33" s="94" t="s">
        <v>274</v>
      </c>
      <c r="O33" s="95">
        <v>798240</v>
      </c>
      <c r="P33" s="95">
        <f t="shared" si="0"/>
        <v>4600.8069164265125</v>
      </c>
      <c r="Q33" s="95">
        <v>5794.5821210374643</v>
      </c>
    </row>
    <row r="34" spans="1:17" ht="35.25" x14ac:dyDescent="0.4">
      <c r="B34" s="100" t="s">
        <v>785</v>
      </c>
      <c r="C34" s="100"/>
      <c r="D34" s="94" t="s">
        <v>916</v>
      </c>
      <c r="E34" s="94" t="s">
        <v>916</v>
      </c>
      <c r="F34" s="94" t="s">
        <v>916</v>
      </c>
      <c r="G34" s="94" t="s">
        <v>916</v>
      </c>
      <c r="H34" s="94" t="s">
        <v>916</v>
      </c>
      <c r="I34" s="96">
        <f>I35+I36+I37</f>
        <v>2093.1</v>
      </c>
      <c r="J34" s="96">
        <f>J35+J36+J37</f>
        <v>1503.4</v>
      </c>
      <c r="K34" s="96">
        <f>K35+K36+K37</f>
        <v>1335</v>
      </c>
      <c r="L34" s="101">
        <f>L35+L36+L37</f>
        <v>110</v>
      </c>
      <c r="M34" s="94" t="s">
        <v>916</v>
      </c>
      <c r="N34" s="94" t="s">
        <v>916</v>
      </c>
      <c r="O34" s="95">
        <v>5860829.3999999994</v>
      </c>
      <c r="P34" s="95">
        <f t="shared" si="0"/>
        <v>2800.0713773828293</v>
      </c>
      <c r="Q34" s="95">
        <f>MAX(Q35:Q37)</f>
        <v>5235.3683600000004</v>
      </c>
    </row>
    <row r="35" spans="1:17" ht="35.25" x14ac:dyDescent="0.5">
      <c r="A35" s="6">
        <v>1</v>
      </c>
      <c r="B35" s="92">
        <f>SUBTOTAL(103,$A$12:A35)</f>
        <v>17</v>
      </c>
      <c r="C35" s="100" t="s">
        <v>1055</v>
      </c>
      <c r="D35" s="94">
        <v>1960</v>
      </c>
      <c r="E35" s="94"/>
      <c r="F35" s="94" t="s">
        <v>273</v>
      </c>
      <c r="G35" s="94">
        <v>2</v>
      </c>
      <c r="H35" s="94">
        <v>1</v>
      </c>
      <c r="I35" s="96">
        <v>306.60000000000002</v>
      </c>
      <c r="J35" s="96">
        <v>285.8</v>
      </c>
      <c r="K35" s="96">
        <f>J35-33.2</f>
        <v>252.60000000000002</v>
      </c>
      <c r="L35" s="101">
        <v>21</v>
      </c>
      <c r="M35" s="94" t="s">
        <v>272</v>
      </c>
      <c r="N35" s="94" t="s">
        <v>274</v>
      </c>
      <c r="O35" s="95">
        <v>1040984.0299999999</v>
      </c>
      <c r="P35" s="95">
        <f t="shared" si="0"/>
        <v>3395.2512393998691</v>
      </c>
      <c r="Q35" s="95">
        <v>4068.5590880626223</v>
      </c>
    </row>
    <row r="36" spans="1:17" ht="35.25" x14ac:dyDescent="0.5">
      <c r="A36" s="6">
        <v>1</v>
      </c>
      <c r="B36" s="92">
        <f>SUBTOTAL(103,$A$12:A36)</f>
        <v>18</v>
      </c>
      <c r="C36" s="100" t="s">
        <v>809</v>
      </c>
      <c r="D36" s="94">
        <v>1960</v>
      </c>
      <c r="E36" s="94"/>
      <c r="F36" s="94" t="s">
        <v>273</v>
      </c>
      <c r="G36" s="94">
        <v>3</v>
      </c>
      <c r="H36" s="94">
        <v>2</v>
      </c>
      <c r="I36" s="96">
        <v>1286.5</v>
      </c>
      <c r="J36" s="96">
        <v>739.6</v>
      </c>
      <c r="K36" s="96">
        <f>J36-65.9</f>
        <v>673.7</v>
      </c>
      <c r="L36" s="101">
        <v>39</v>
      </c>
      <c r="M36" s="94" t="s">
        <v>272</v>
      </c>
      <c r="N36" s="94" t="s">
        <v>274</v>
      </c>
      <c r="O36" s="95">
        <v>2764152.46</v>
      </c>
      <c r="P36" s="95">
        <f t="shared" si="0"/>
        <v>2148.5833346288377</v>
      </c>
      <c r="Q36" s="95">
        <v>2706.7119782355226</v>
      </c>
    </row>
    <row r="37" spans="1:17" ht="35.25" x14ac:dyDescent="0.5">
      <c r="A37" s="6">
        <v>1</v>
      </c>
      <c r="B37" s="92">
        <f>SUBTOTAL(103,$A$12:A37)</f>
        <v>19</v>
      </c>
      <c r="C37" s="100" t="s">
        <v>801</v>
      </c>
      <c r="D37" s="94">
        <v>1965</v>
      </c>
      <c r="E37" s="94"/>
      <c r="F37" s="94" t="s">
        <v>273</v>
      </c>
      <c r="G37" s="94">
        <v>2</v>
      </c>
      <c r="H37" s="94">
        <v>3</v>
      </c>
      <c r="I37" s="96">
        <v>500</v>
      </c>
      <c r="J37" s="96">
        <v>478</v>
      </c>
      <c r="K37" s="96">
        <f>J37-69.3</f>
        <v>408.7</v>
      </c>
      <c r="L37" s="101">
        <v>50</v>
      </c>
      <c r="M37" s="94" t="s">
        <v>272</v>
      </c>
      <c r="N37" s="94" t="s">
        <v>274</v>
      </c>
      <c r="O37" s="95">
        <v>2055692.91</v>
      </c>
      <c r="P37" s="95">
        <f t="shared" si="0"/>
        <v>4111.3858199999995</v>
      </c>
      <c r="Q37" s="95">
        <v>5235.3683600000004</v>
      </c>
    </row>
    <row r="38" spans="1:17" ht="35.25" x14ac:dyDescent="0.4">
      <c r="B38" s="100" t="s">
        <v>863</v>
      </c>
      <c r="C38" s="100"/>
      <c r="D38" s="94" t="s">
        <v>916</v>
      </c>
      <c r="E38" s="94" t="s">
        <v>916</v>
      </c>
      <c r="F38" s="94" t="s">
        <v>916</v>
      </c>
      <c r="G38" s="94" t="s">
        <v>916</v>
      </c>
      <c r="H38" s="94" t="s">
        <v>916</v>
      </c>
      <c r="I38" s="96">
        <f>I39</f>
        <v>755.8</v>
      </c>
      <c r="J38" s="96">
        <f>J39</f>
        <v>690.5</v>
      </c>
      <c r="K38" s="96">
        <f>K39</f>
        <v>391.9</v>
      </c>
      <c r="L38" s="101">
        <f>L39</f>
        <v>20</v>
      </c>
      <c r="M38" s="94" t="s">
        <v>916</v>
      </c>
      <c r="N38" s="94" t="s">
        <v>916</v>
      </c>
      <c r="O38" s="95">
        <v>2154384</v>
      </c>
      <c r="P38" s="95">
        <f t="shared" si="0"/>
        <v>2850.4683778777458</v>
      </c>
      <c r="Q38" s="95">
        <f>Q39</f>
        <v>3590.081783275999</v>
      </c>
    </row>
    <row r="39" spans="1:17" ht="35.25" x14ac:dyDescent="0.5">
      <c r="A39" s="6">
        <v>1</v>
      </c>
      <c r="B39" s="92">
        <f>SUBTOTAL(103,$A$12:A39)</f>
        <v>20</v>
      </c>
      <c r="C39" s="100" t="s">
        <v>1056</v>
      </c>
      <c r="D39" s="94">
        <v>1953</v>
      </c>
      <c r="E39" s="94"/>
      <c r="F39" s="94" t="s">
        <v>273</v>
      </c>
      <c r="G39" s="94">
        <v>2</v>
      </c>
      <c r="H39" s="94">
        <v>2</v>
      </c>
      <c r="I39" s="96">
        <v>755.8</v>
      </c>
      <c r="J39" s="96">
        <v>690.5</v>
      </c>
      <c r="K39" s="96">
        <f>J39-298.6</f>
        <v>391.9</v>
      </c>
      <c r="L39" s="101">
        <v>20</v>
      </c>
      <c r="M39" s="94" t="s">
        <v>272</v>
      </c>
      <c r="N39" s="94" t="s">
        <v>274</v>
      </c>
      <c r="O39" s="95">
        <v>2154384</v>
      </c>
      <c r="P39" s="95">
        <f t="shared" si="0"/>
        <v>2850.4683778777458</v>
      </c>
      <c r="Q39" s="95">
        <v>3590.081783275999</v>
      </c>
    </row>
    <row r="40" spans="1:17" ht="35.25" x14ac:dyDescent="0.4">
      <c r="B40" s="100" t="s">
        <v>865</v>
      </c>
      <c r="C40" s="100"/>
      <c r="D40" s="94" t="s">
        <v>916</v>
      </c>
      <c r="E40" s="94" t="s">
        <v>916</v>
      </c>
      <c r="F40" s="94" t="s">
        <v>916</v>
      </c>
      <c r="G40" s="94" t="s">
        <v>916</v>
      </c>
      <c r="H40" s="94" t="s">
        <v>916</v>
      </c>
      <c r="I40" s="96">
        <f>I41</f>
        <v>1840.2</v>
      </c>
      <c r="J40" s="96">
        <f>J41</f>
        <v>1606</v>
      </c>
      <c r="K40" s="96">
        <f>K41</f>
        <v>1461.2</v>
      </c>
      <c r="L40" s="101">
        <f>L41</f>
        <v>77</v>
      </c>
      <c r="M40" s="94" t="s">
        <v>916</v>
      </c>
      <c r="N40" s="94" t="s">
        <v>916</v>
      </c>
      <c r="O40" s="95">
        <v>5688174.9500000002</v>
      </c>
      <c r="P40" s="95">
        <f t="shared" si="0"/>
        <v>3091.0634441908487</v>
      </c>
      <c r="Q40" s="95">
        <f>Q41</f>
        <v>3646.5930877078576</v>
      </c>
    </row>
    <row r="41" spans="1:17" ht="35.25" x14ac:dyDescent="0.5">
      <c r="A41" s="6">
        <v>1</v>
      </c>
      <c r="B41" s="92">
        <f>SUBTOTAL(103,$A$12:A41)</f>
        <v>21</v>
      </c>
      <c r="C41" s="100" t="s">
        <v>1057</v>
      </c>
      <c r="D41" s="94">
        <v>1986</v>
      </c>
      <c r="E41" s="94"/>
      <c r="F41" s="94" t="s">
        <v>273</v>
      </c>
      <c r="G41" s="94">
        <v>3</v>
      </c>
      <c r="H41" s="94">
        <v>3</v>
      </c>
      <c r="I41" s="96">
        <v>1840.2</v>
      </c>
      <c r="J41" s="96">
        <v>1606</v>
      </c>
      <c r="K41" s="96">
        <f>J41-144.8</f>
        <v>1461.2</v>
      </c>
      <c r="L41" s="101">
        <v>77</v>
      </c>
      <c r="M41" s="94" t="s">
        <v>349</v>
      </c>
      <c r="N41" s="94" t="s">
        <v>1089</v>
      </c>
      <c r="O41" s="95">
        <v>5688174.9500000002</v>
      </c>
      <c r="P41" s="95">
        <f t="shared" si="0"/>
        <v>3091.0634441908487</v>
      </c>
      <c r="Q41" s="95">
        <v>3646.5930877078576</v>
      </c>
    </row>
    <row r="42" spans="1:17" ht="35.25" x14ac:dyDescent="0.4">
      <c r="B42" s="100" t="s">
        <v>1076</v>
      </c>
      <c r="C42" s="100"/>
      <c r="D42" s="94" t="s">
        <v>916</v>
      </c>
      <c r="E42" s="94" t="s">
        <v>916</v>
      </c>
      <c r="F42" s="94" t="s">
        <v>916</v>
      </c>
      <c r="G42" s="94" t="s">
        <v>916</v>
      </c>
      <c r="H42" s="94" t="s">
        <v>916</v>
      </c>
      <c r="I42" s="96">
        <f>I43+I44+I45</f>
        <v>1542</v>
      </c>
      <c r="J42" s="96">
        <f>J43+J44+J45</f>
        <v>1398.2</v>
      </c>
      <c r="K42" s="96">
        <f>K43+K44+K45</f>
        <v>1169.9000000000001</v>
      </c>
      <c r="L42" s="101">
        <f>L43+L44+L45</f>
        <v>58</v>
      </c>
      <c r="M42" s="94" t="s">
        <v>916</v>
      </c>
      <c r="N42" s="94" t="s">
        <v>916</v>
      </c>
      <c r="O42" s="95">
        <v>7525674.8200000003</v>
      </c>
      <c r="P42" s="95">
        <f t="shared" si="0"/>
        <v>4880.4635667963685</v>
      </c>
      <c r="Q42" s="95">
        <f>MAX(Q43:Q45)</f>
        <v>6869.840909090909</v>
      </c>
    </row>
    <row r="43" spans="1:17" ht="35.25" x14ac:dyDescent="0.5">
      <c r="A43" s="6">
        <v>1</v>
      </c>
      <c r="B43" s="92">
        <f>SUBTOTAL(103,$A$12:A43)</f>
        <v>22</v>
      </c>
      <c r="C43" s="100" t="s">
        <v>1058</v>
      </c>
      <c r="D43" s="94">
        <v>1950</v>
      </c>
      <c r="E43" s="94"/>
      <c r="F43" s="94" t="s">
        <v>273</v>
      </c>
      <c r="G43" s="94">
        <v>2</v>
      </c>
      <c r="H43" s="94">
        <v>1</v>
      </c>
      <c r="I43" s="96">
        <v>440</v>
      </c>
      <c r="J43" s="96">
        <v>433.9</v>
      </c>
      <c r="K43" s="96">
        <f>J43-53.4</f>
        <v>380.5</v>
      </c>
      <c r="L43" s="101">
        <v>18</v>
      </c>
      <c r="M43" s="94" t="s">
        <v>275</v>
      </c>
      <c r="N43" s="94" t="s">
        <v>329</v>
      </c>
      <c r="O43" s="95">
        <v>2441426.8199999998</v>
      </c>
      <c r="P43" s="95">
        <f t="shared" si="0"/>
        <v>5548.6973181818175</v>
      </c>
      <c r="Q43" s="95">
        <v>6869.840909090909</v>
      </c>
    </row>
    <row r="44" spans="1:17" ht="35.25" x14ac:dyDescent="0.5">
      <c r="A44" s="6">
        <v>1</v>
      </c>
      <c r="B44" s="92">
        <f>SUBTOTAL(103,$A$12:A44)</f>
        <v>23</v>
      </c>
      <c r="C44" s="100" t="s">
        <v>1059</v>
      </c>
      <c r="D44" s="94">
        <v>1956</v>
      </c>
      <c r="E44" s="94"/>
      <c r="F44" s="94" t="s">
        <v>273</v>
      </c>
      <c r="G44" s="94">
        <v>2</v>
      </c>
      <c r="H44" s="94">
        <v>1</v>
      </c>
      <c r="I44" s="96">
        <v>536.70000000000005</v>
      </c>
      <c r="J44" s="96">
        <v>447.8</v>
      </c>
      <c r="K44" s="96">
        <f>J44-79.8</f>
        <v>368</v>
      </c>
      <c r="L44" s="101">
        <v>13</v>
      </c>
      <c r="M44" s="94" t="s">
        <v>275</v>
      </c>
      <c r="N44" s="94" t="s">
        <v>329</v>
      </c>
      <c r="O44" s="95">
        <v>2319594.85</v>
      </c>
      <c r="P44" s="95">
        <f t="shared" si="0"/>
        <v>4321.95798397615</v>
      </c>
      <c r="Q44" s="95">
        <v>5508.1608719955275</v>
      </c>
    </row>
    <row r="45" spans="1:17" ht="35.25" x14ac:dyDescent="0.5">
      <c r="A45" s="6">
        <v>1</v>
      </c>
      <c r="B45" s="92">
        <f>SUBTOTAL(103,$A$12:A45)</f>
        <v>24</v>
      </c>
      <c r="C45" s="100" t="s">
        <v>1060</v>
      </c>
      <c r="D45" s="94">
        <v>1963</v>
      </c>
      <c r="E45" s="94"/>
      <c r="F45" s="94" t="s">
        <v>273</v>
      </c>
      <c r="G45" s="94">
        <v>2</v>
      </c>
      <c r="H45" s="94">
        <v>2</v>
      </c>
      <c r="I45" s="96">
        <v>565.29999999999995</v>
      </c>
      <c r="J45" s="96">
        <v>516.5</v>
      </c>
      <c r="K45" s="96">
        <f>J45-95.1</f>
        <v>421.4</v>
      </c>
      <c r="L45" s="101">
        <v>27</v>
      </c>
      <c r="M45" s="94" t="s">
        <v>275</v>
      </c>
      <c r="N45" s="94" t="s">
        <v>335</v>
      </c>
      <c r="O45" s="95">
        <v>2764653.1500000004</v>
      </c>
      <c r="P45" s="95">
        <f t="shared" si="0"/>
        <v>4890.5946400141529</v>
      </c>
      <c r="Q45" s="95">
        <v>5015.6036440827884</v>
      </c>
    </row>
    <row r="46" spans="1:17" ht="35.25" x14ac:dyDescent="0.4">
      <c r="B46" s="100" t="s">
        <v>1077</v>
      </c>
      <c r="C46" s="100"/>
      <c r="D46" s="94" t="s">
        <v>916</v>
      </c>
      <c r="E46" s="94" t="s">
        <v>916</v>
      </c>
      <c r="F46" s="94" t="s">
        <v>916</v>
      </c>
      <c r="G46" s="94" t="s">
        <v>916</v>
      </c>
      <c r="H46" s="94" t="s">
        <v>916</v>
      </c>
      <c r="I46" s="96">
        <f>I47</f>
        <v>970.5</v>
      </c>
      <c r="J46" s="96">
        <f>J47</f>
        <v>874</v>
      </c>
      <c r="K46" s="96">
        <f>K47</f>
        <v>786.4</v>
      </c>
      <c r="L46" s="101">
        <f>L47</f>
        <v>38</v>
      </c>
      <c r="M46" s="94" t="s">
        <v>916</v>
      </c>
      <c r="N46" s="94" t="s">
        <v>916</v>
      </c>
      <c r="O46" s="95">
        <v>3834600</v>
      </c>
      <c r="P46" s="95">
        <f t="shared" si="0"/>
        <v>3951.1591962905718</v>
      </c>
      <c r="Q46" s="95">
        <f>Q47</f>
        <v>4777.3149749613603</v>
      </c>
    </row>
    <row r="47" spans="1:17" ht="35.25" x14ac:dyDescent="0.5">
      <c r="A47" s="6">
        <v>1</v>
      </c>
      <c r="B47" s="92">
        <f>SUBTOTAL(103,$A$12:A47)</f>
        <v>25</v>
      </c>
      <c r="C47" s="100" t="s">
        <v>1065</v>
      </c>
      <c r="D47" s="94">
        <v>1974</v>
      </c>
      <c r="E47" s="94"/>
      <c r="F47" s="94" t="s">
        <v>273</v>
      </c>
      <c r="G47" s="94">
        <v>2</v>
      </c>
      <c r="H47" s="94">
        <v>3</v>
      </c>
      <c r="I47" s="96">
        <v>970.5</v>
      </c>
      <c r="J47" s="96">
        <v>874</v>
      </c>
      <c r="K47" s="96">
        <f>J47-87.6</f>
        <v>786.4</v>
      </c>
      <c r="L47" s="101">
        <v>38</v>
      </c>
      <c r="M47" s="94" t="s">
        <v>275</v>
      </c>
      <c r="N47" s="94" t="s">
        <v>300</v>
      </c>
      <c r="O47" s="95">
        <v>3834600</v>
      </c>
      <c r="P47" s="95">
        <f t="shared" si="0"/>
        <v>3951.1591962905718</v>
      </c>
      <c r="Q47" s="95">
        <v>4777.3149749613603</v>
      </c>
    </row>
    <row r="48" spans="1:17" ht="35.25" x14ac:dyDescent="0.4">
      <c r="B48" s="100" t="s">
        <v>876</v>
      </c>
      <c r="C48" s="100"/>
      <c r="D48" s="94" t="s">
        <v>916</v>
      </c>
      <c r="E48" s="94" t="s">
        <v>916</v>
      </c>
      <c r="F48" s="94" t="s">
        <v>916</v>
      </c>
      <c r="G48" s="94" t="s">
        <v>916</v>
      </c>
      <c r="H48" s="94" t="s">
        <v>916</v>
      </c>
      <c r="I48" s="96">
        <f>I49</f>
        <v>465</v>
      </c>
      <c r="J48" s="96">
        <f>J49</f>
        <v>424.6</v>
      </c>
      <c r="K48" s="96">
        <f>K49</f>
        <v>175.8</v>
      </c>
      <c r="L48" s="101">
        <f>L49</f>
        <v>26</v>
      </c>
      <c r="M48" s="94" t="s">
        <v>916</v>
      </c>
      <c r="N48" s="94" t="s">
        <v>916</v>
      </c>
      <c r="O48" s="95">
        <v>1692000</v>
      </c>
      <c r="P48" s="95">
        <f t="shared" si="0"/>
        <v>3638.7096774193546</v>
      </c>
      <c r="Q48" s="95">
        <f>Q49</f>
        <v>4582.8487096774188</v>
      </c>
    </row>
    <row r="49" spans="1:17" ht="35.25" x14ac:dyDescent="0.5">
      <c r="A49" s="6">
        <v>1</v>
      </c>
      <c r="B49" s="92">
        <f>SUBTOTAL(103,$A$12:A49)</f>
        <v>26</v>
      </c>
      <c r="C49" s="100" t="s">
        <v>1061</v>
      </c>
      <c r="D49" s="94">
        <v>1953</v>
      </c>
      <c r="E49" s="94"/>
      <c r="F49" s="94" t="s">
        <v>273</v>
      </c>
      <c r="G49" s="94">
        <v>2</v>
      </c>
      <c r="H49" s="94">
        <v>1</v>
      </c>
      <c r="I49" s="96">
        <v>465</v>
      </c>
      <c r="J49" s="96">
        <v>424.6</v>
      </c>
      <c r="K49" s="96">
        <f>J49-248.8</f>
        <v>175.8</v>
      </c>
      <c r="L49" s="101">
        <v>26</v>
      </c>
      <c r="M49" s="94" t="s">
        <v>272</v>
      </c>
      <c r="N49" s="94" t="s">
        <v>274</v>
      </c>
      <c r="O49" s="95">
        <v>1692000</v>
      </c>
      <c r="P49" s="95">
        <f t="shared" si="0"/>
        <v>3638.7096774193546</v>
      </c>
      <c r="Q49" s="95">
        <v>4582.8487096774188</v>
      </c>
    </row>
    <row r="50" spans="1:17" ht="35.25" x14ac:dyDescent="0.4">
      <c r="B50" s="100" t="s">
        <v>882</v>
      </c>
      <c r="C50" s="100"/>
      <c r="D50" s="94" t="s">
        <v>916</v>
      </c>
      <c r="E50" s="94" t="s">
        <v>916</v>
      </c>
      <c r="F50" s="94" t="s">
        <v>916</v>
      </c>
      <c r="G50" s="94" t="s">
        <v>916</v>
      </c>
      <c r="H50" s="94" t="s">
        <v>916</v>
      </c>
      <c r="I50" s="96">
        <f>I51</f>
        <v>943.2</v>
      </c>
      <c r="J50" s="96">
        <f>J51</f>
        <v>861.5</v>
      </c>
      <c r="K50" s="96">
        <f>K51</f>
        <v>816.5</v>
      </c>
      <c r="L50" s="101">
        <f>L51</f>
        <v>31</v>
      </c>
      <c r="M50" s="94" t="s">
        <v>916</v>
      </c>
      <c r="N50" s="94" t="s">
        <v>916</v>
      </c>
      <c r="O50" s="95">
        <v>3214510.5</v>
      </c>
      <c r="P50" s="95">
        <f t="shared" si="0"/>
        <v>3408.090012722646</v>
      </c>
      <c r="Q50" s="95">
        <f>Q51</f>
        <v>4935.3310008481767</v>
      </c>
    </row>
    <row r="51" spans="1:17" ht="35.25" x14ac:dyDescent="0.5">
      <c r="A51" s="6">
        <v>1</v>
      </c>
      <c r="B51" s="92">
        <f>SUBTOTAL(103,$A$12:A51)</f>
        <v>27</v>
      </c>
      <c r="C51" s="100" t="s">
        <v>1064</v>
      </c>
      <c r="D51" s="94">
        <v>1980</v>
      </c>
      <c r="E51" s="94"/>
      <c r="F51" s="94" t="s">
        <v>273</v>
      </c>
      <c r="G51" s="94">
        <v>2</v>
      </c>
      <c r="H51" s="94">
        <v>3</v>
      </c>
      <c r="I51" s="96">
        <v>943.2</v>
      </c>
      <c r="J51" s="96">
        <v>861.5</v>
      </c>
      <c r="K51" s="96">
        <f>J51-45</f>
        <v>816.5</v>
      </c>
      <c r="L51" s="101">
        <v>31</v>
      </c>
      <c r="M51" s="94" t="s">
        <v>275</v>
      </c>
      <c r="N51" s="94" t="s">
        <v>288</v>
      </c>
      <c r="O51" s="95">
        <v>3214510.5</v>
      </c>
      <c r="P51" s="95">
        <f t="shared" si="0"/>
        <v>3408.090012722646</v>
      </c>
      <c r="Q51" s="95">
        <v>4935.3310008481767</v>
      </c>
    </row>
    <row r="52" spans="1:17" ht="35.25" x14ac:dyDescent="0.4">
      <c r="B52" s="100" t="s">
        <v>884</v>
      </c>
      <c r="C52" s="100"/>
      <c r="D52" s="94" t="s">
        <v>916</v>
      </c>
      <c r="E52" s="94" t="s">
        <v>916</v>
      </c>
      <c r="F52" s="94" t="s">
        <v>916</v>
      </c>
      <c r="G52" s="94" t="s">
        <v>916</v>
      </c>
      <c r="H52" s="94" t="s">
        <v>916</v>
      </c>
      <c r="I52" s="96">
        <f>I54+I53+I55</f>
        <v>2249.1999999999998</v>
      </c>
      <c r="J52" s="96">
        <f>J54+J53+J55</f>
        <v>2068.4</v>
      </c>
      <c r="K52" s="96">
        <f>K54+K53+K55</f>
        <v>2023.6000000000001</v>
      </c>
      <c r="L52" s="101">
        <f>L54+L53+L55</f>
        <v>104</v>
      </c>
      <c r="M52" s="94" t="s">
        <v>916</v>
      </c>
      <c r="N52" s="94" t="s">
        <v>916</v>
      </c>
      <c r="O52" s="95">
        <v>6200280.5599999996</v>
      </c>
      <c r="P52" s="95">
        <f t="shared" si="0"/>
        <v>2756.6603948070424</v>
      </c>
      <c r="Q52" s="95">
        <f>MAX(Q53:Q55)</f>
        <v>5407.5219291014018</v>
      </c>
    </row>
    <row r="53" spans="1:17" ht="35.25" x14ac:dyDescent="0.5">
      <c r="A53" s="6">
        <v>1</v>
      </c>
      <c r="B53" s="92">
        <f>SUBTOTAL(103,$A$12:A53)</f>
        <v>28</v>
      </c>
      <c r="C53" s="100" t="s">
        <v>1109</v>
      </c>
      <c r="D53" s="94">
        <v>1980</v>
      </c>
      <c r="E53" s="94"/>
      <c r="F53" s="94" t="s">
        <v>326</v>
      </c>
      <c r="G53" s="94">
        <v>3</v>
      </c>
      <c r="H53" s="94">
        <v>3</v>
      </c>
      <c r="I53" s="96">
        <v>1481.6</v>
      </c>
      <c r="J53" s="96">
        <v>1361.4</v>
      </c>
      <c r="K53" s="96">
        <v>1361.4</v>
      </c>
      <c r="L53" s="101">
        <v>70</v>
      </c>
      <c r="M53" s="94" t="s">
        <v>272</v>
      </c>
      <c r="N53" s="94" t="s">
        <v>274</v>
      </c>
      <c r="O53" s="95">
        <v>2125397.4</v>
      </c>
      <c r="P53" s="95">
        <f t="shared" si="0"/>
        <v>1434.5284827213823</v>
      </c>
      <c r="Q53" s="95">
        <v>2460.0484840712743</v>
      </c>
    </row>
    <row r="54" spans="1:17" ht="35.25" x14ac:dyDescent="0.5">
      <c r="A54" s="6">
        <v>1</v>
      </c>
      <c r="B54" s="92">
        <f>SUBTOTAL(103,$A$12:A54)</f>
        <v>29</v>
      </c>
      <c r="C54" s="100" t="s">
        <v>1062</v>
      </c>
      <c r="D54" s="94">
        <v>1970</v>
      </c>
      <c r="E54" s="94"/>
      <c r="F54" s="94" t="s">
        <v>273</v>
      </c>
      <c r="G54" s="94">
        <v>2</v>
      </c>
      <c r="H54" s="94">
        <v>1</v>
      </c>
      <c r="I54" s="96">
        <v>403.7</v>
      </c>
      <c r="J54" s="96">
        <v>373</v>
      </c>
      <c r="K54" s="96">
        <f>J54-44.8</f>
        <v>328.2</v>
      </c>
      <c r="L54" s="101">
        <v>20</v>
      </c>
      <c r="M54" s="94" t="s">
        <v>272</v>
      </c>
      <c r="N54" s="94" t="s">
        <v>274</v>
      </c>
      <c r="O54" s="95">
        <v>2324222.61</v>
      </c>
      <c r="P54" s="95">
        <f t="shared" si="0"/>
        <v>5757.3014862521677</v>
      </c>
      <c r="Q54" s="95">
        <v>4759.416539509537</v>
      </c>
    </row>
    <row r="55" spans="1:17" ht="35.25" x14ac:dyDescent="0.5">
      <c r="A55" s="6">
        <v>1</v>
      </c>
      <c r="B55" s="92">
        <f>SUBTOTAL(103,$A$12:A55)</f>
        <v>30</v>
      </c>
      <c r="C55" s="100" t="s">
        <v>196</v>
      </c>
      <c r="D55" s="94">
        <v>1968</v>
      </c>
      <c r="E55" s="94"/>
      <c r="F55" s="94" t="s">
        <v>273</v>
      </c>
      <c r="G55" s="94">
        <v>2</v>
      </c>
      <c r="H55" s="94">
        <v>1</v>
      </c>
      <c r="I55" s="96">
        <v>363.9</v>
      </c>
      <c r="J55" s="96">
        <v>334</v>
      </c>
      <c r="K55" s="96">
        <v>334</v>
      </c>
      <c r="L55" s="101">
        <v>14</v>
      </c>
      <c r="M55" s="94" t="s">
        <v>272</v>
      </c>
      <c r="N55" s="95" t="s">
        <v>274</v>
      </c>
      <c r="O55" s="95">
        <v>1750660.55</v>
      </c>
      <c r="P55" s="95">
        <f t="shared" si="0"/>
        <v>4810.828661720253</v>
      </c>
      <c r="Q55" s="95">
        <v>5407.5219291014018</v>
      </c>
    </row>
    <row r="56" spans="1:17" ht="35.25" x14ac:dyDescent="0.4">
      <c r="B56" s="100" t="s">
        <v>883</v>
      </c>
      <c r="C56" s="100"/>
      <c r="D56" s="94" t="s">
        <v>916</v>
      </c>
      <c r="E56" s="94" t="s">
        <v>916</v>
      </c>
      <c r="F56" s="94" t="s">
        <v>916</v>
      </c>
      <c r="G56" s="94" t="s">
        <v>916</v>
      </c>
      <c r="H56" s="94" t="s">
        <v>916</v>
      </c>
      <c r="I56" s="96">
        <f>I57</f>
        <v>940.4</v>
      </c>
      <c r="J56" s="96">
        <f>J57</f>
        <v>558.4</v>
      </c>
      <c r="K56" s="96">
        <f>K57</f>
        <v>558.4</v>
      </c>
      <c r="L56" s="101">
        <f>L57</f>
        <v>26</v>
      </c>
      <c r="M56" s="94" t="s">
        <v>916</v>
      </c>
      <c r="N56" s="94" t="s">
        <v>916</v>
      </c>
      <c r="O56" s="95">
        <v>2164797.61</v>
      </c>
      <c r="P56" s="95">
        <f t="shared" si="0"/>
        <v>2301.996607826457</v>
      </c>
      <c r="Q56" s="95">
        <f>Q57</f>
        <v>3664.3047639302426</v>
      </c>
    </row>
    <row r="57" spans="1:17" ht="35.25" x14ac:dyDescent="0.5">
      <c r="A57" s="6">
        <v>1</v>
      </c>
      <c r="B57" s="92">
        <f>SUBTOTAL(103,$A$12:A57)</f>
        <v>31</v>
      </c>
      <c r="C57" s="100" t="s">
        <v>1099</v>
      </c>
      <c r="D57" s="94">
        <v>1987</v>
      </c>
      <c r="E57" s="94"/>
      <c r="F57" s="94" t="s">
        <v>273</v>
      </c>
      <c r="G57" s="102">
        <v>2</v>
      </c>
      <c r="H57" s="102">
        <v>2</v>
      </c>
      <c r="I57" s="96">
        <v>940.4</v>
      </c>
      <c r="J57" s="96">
        <v>558.4</v>
      </c>
      <c r="K57" s="96">
        <f>J57</f>
        <v>558.4</v>
      </c>
      <c r="L57" s="101">
        <v>26</v>
      </c>
      <c r="M57" s="94" t="s">
        <v>275</v>
      </c>
      <c r="N57" s="94" t="s">
        <v>1101</v>
      </c>
      <c r="O57" s="95">
        <v>2164797.61</v>
      </c>
      <c r="P57" s="95">
        <f t="shared" si="0"/>
        <v>2301.996607826457</v>
      </c>
      <c r="Q57" s="95">
        <v>3664.3047639302426</v>
      </c>
    </row>
    <row r="58" spans="1:17" ht="35.25" x14ac:dyDescent="0.5">
      <c r="B58" s="135" t="s">
        <v>859</v>
      </c>
      <c r="C58" s="100"/>
      <c r="D58" s="94" t="s">
        <v>916</v>
      </c>
      <c r="E58" s="94" t="s">
        <v>916</v>
      </c>
      <c r="F58" s="94" t="s">
        <v>916</v>
      </c>
      <c r="G58" s="102" t="s">
        <v>916</v>
      </c>
      <c r="H58" s="102" t="s">
        <v>916</v>
      </c>
      <c r="I58" s="96">
        <f>I59</f>
        <v>1743.7</v>
      </c>
      <c r="J58" s="96">
        <f>J59</f>
        <v>1557.1</v>
      </c>
      <c r="K58" s="96">
        <f>K59</f>
        <v>1557.1</v>
      </c>
      <c r="L58" s="101">
        <f>L59</f>
        <v>65</v>
      </c>
      <c r="M58" s="94" t="s">
        <v>916</v>
      </c>
      <c r="N58" s="94" t="s">
        <v>916</v>
      </c>
      <c r="O58" s="95">
        <v>2144509.73</v>
      </c>
      <c r="P58" s="95">
        <f t="shared" si="0"/>
        <v>1229.8616333084819</v>
      </c>
      <c r="Q58" s="95">
        <f>Q59</f>
        <v>3255.8500000000004</v>
      </c>
    </row>
    <row r="59" spans="1:17" ht="35.25" x14ac:dyDescent="0.5">
      <c r="A59" s="6">
        <v>1</v>
      </c>
      <c r="B59" s="92">
        <f>SUBTOTAL(103,$A$12:A59)</f>
        <v>32</v>
      </c>
      <c r="C59" s="100" t="s">
        <v>1434</v>
      </c>
      <c r="D59" s="94">
        <v>1978</v>
      </c>
      <c r="E59" s="94"/>
      <c r="F59" s="94" t="s">
        <v>273</v>
      </c>
      <c r="G59" s="102">
        <v>3</v>
      </c>
      <c r="H59" s="102">
        <v>3</v>
      </c>
      <c r="I59" s="96">
        <v>1743.7</v>
      </c>
      <c r="J59" s="96">
        <v>1557.1</v>
      </c>
      <c r="K59" s="96">
        <v>1557.1</v>
      </c>
      <c r="L59" s="101">
        <v>65</v>
      </c>
      <c r="M59" s="94" t="s">
        <v>275</v>
      </c>
      <c r="N59" s="94" t="s">
        <v>835</v>
      </c>
      <c r="O59" s="95">
        <v>2144509.73</v>
      </c>
      <c r="P59" s="95">
        <f t="shared" si="0"/>
        <v>1229.8616333084819</v>
      </c>
      <c r="Q59" s="95">
        <v>3255.8500000000004</v>
      </c>
    </row>
    <row r="60" spans="1:17" ht="35.25" x14ac:dyDescent="0.5">
      <c r="B60" s="135" t="s">
        <v>895</v>
      </c>
      <c r="C60" s="100"/>
      <c r="D60" s="94" t="s">
        <v>916</v>
      </c>
      <c r="E60" s="94" t="s">
        <v>916</v>
      </c>
      <c r="F60" s="94" t="s">
        <v>916</v>
      </c>
      <c r="G60" s="102" t="s">
        <v>916</v>
      </c>
      <c r="H60" s="102" t="s">
        <v>916</v>
      </c>
      <c r="I60" s="96">
        <f>I61</f>
        <v>1105.0999999999999</v>
      </c>
      <c r="J60" s="96">
        <f>J61</f>
        <v>953.3</v>
      </c>
      <c r="K60" s="96">
        <f>K61</f>
        <v>870.1</v>
      </c>
      <c r="L60" s="101">
        <f>L61</f>
        <v>44</v>
      </c>
      <c r="M60" s="94" t="s">
        <v>916</v>
      </c>
      <c r="N60" s="94" t="s">
        <v>916</v>
      </c>
      <c r="O60" s="95">
        <v>1590688.46</v>
      </c>
      <c r="P60" s="95">
        <f t="shared" si="0"/>
        <v>1439.4068048140441</v>
      </c>
      <c r="Q60" s="95">
        <f>Q61</f>
        <v>1439.4068048140441</v>
      </c>
    </row>
    <row r="61" spans="1:17" ht="35.25" x14ac:dyDescent="0.5">
      <c r="A61" s="6">
        <v>1</v>
      </c>
      <c r="B61" s="92">
        <f>SUBTOTAL(103,$A$12:A61)</f>
        <v>33</v>
      </c>
      <c r="C61" s="100" t="s">
        <v>1435</v>
      </c>
      <c r="D61" s="94">
        <v>1979</v>
      </c>
      <c r="E61" s="94"/>
      <c r="F61" s="94" t="s">
        <v>273</v>
      </c>
      <c r="G61" s="102">
        <v>2</v>
      </c>
      <c r="H61" s="102">
        <v>3</v>
      </c>
      <c r="I61" s="96">
        <v>1105.0999999999999</v>
      </c>
      <c r="J61" s="96">
        <v>953.3</v>
      </c>
      <c r="K61" s="96">
        <v>870.1</v>
      </c>
      <c r="L61" s="101">
        <v>44</v>
      </c>
      <c r="M61" s="94" t="s">
        <v>275</v>
      </c>
      <c r="N61" s="94" t="s">
        <v>1390</v>
      </c>
      <c r="O61" s="95">
        <v>1590688.46</v>
      </c>
      <c r="P61" s="95">
        <f t="shared" si="0"/>
        <v>1439.4068048140441</v>
      </c>
      <c r="Q61" s="95">
        <v>1439.4068048140441</v>
      </c>
    </row>
    <row r="62" spans="1:17" ht="45.75" x14ac:dyDescent="0.25">
      <c r="B62" s="252" t="s">
        <v>1436</v>
      </c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4"/>
    </row>
    <row r="63" spans="1:17" ht="35.25" x14ac:dyDescent="0.5">
      <c r="B63" s="136" t="s">
        <v>1078</v>
      </c>
      <c r="C63" s="136"/>
      <c r="D63" s="137" t="s">
        <v>776</v>
      </c>
      <c r="E63" s="137" t="s">
        <v>776</v>
      </c>
      <c r="F63" s="138" t="s">
        <v>776</v>
      </c>
      <c r="G63" s="138" t="s">
        <v>776</v>
      </c>
      <c r="H63" s="138" t="s">
        <v>776</v>
      </c>
      <c r="I63" s="106">
        <f>I64+I71+I74+I91+I98+I103+I130+I144+I150+I153+I155+I157+I162+I164+I166+I169+I172+I174+I176+I180+I182+I184+I186+I188+I190+I192+I195</f>
        <v>269513.32</v>
      </c>
      <c r="J63" s="106">
        <f>J64+J71+J74+J91+J98+J103+J130+J144+J150+J153+J155+J157+J162+J164+J166+J169+J172+J174+J176+J180+J182+J184+J186+J188+J190+J192+J195</f>
        <v>225627.94000000003</v>
      </c>
      <c r="K63" s="106">
        <f>K64+K71+K74+K91+K98+K103+K130+K144+K150+K153+K155+K157+K162+K164+K166+K169+K172+K174+K176+K180+K182+K184+K186+K188+K190+K192+K195</f>
        <v>201660.53999999995</v>
      </c>
      <c r="L63" s="139">
        <f>L64+L71+L74+L91+L98+L103+L130+L144+L150+L153+L155+L157+L162+L164+L166+L169+L172+L174+L176+L180+L182+L184+L186+L188+L190+L192+L195</f>
        <v>11346</v>
      </c>
      <c r="M63" s="137" t="s">
        <v>916</v>
      </c>
      <c r="N63" s="140" t="s">
        <v>916</v>
      </c>
      <c r="O63" s="106">
        <v>43381799.889999993</v>
      </c>
      <c r="P63" s="106">
        <f>O63/I63</f>
        <v>160.96347256603121</v>
      </c>
      <c r="Q63" s="106">
        <f>MAX(Q64:Q196)</f>
        <v>20482.818986175116</v>
      </c>
    </row>
    <row r="64" spans="1:17" ht="35.25" x14ac:dyDescent="0.5">
      <c r="B64" s="136" t="s">
        <v>840</v>
      </c>
      <c r="C64" s="136"/>
      <c r="D64" s="137" t="s">
        <v>776</v>
      </c>
      <c r="E64" s="137" t="s">
        <v>776</v>
      </c>
      <c r="F64" s="138" t="s">
        <v>776</v>
      </c>
      <c r="G64" s="137" t="s">
        <v>776</v>
      </c>
      <c r="H64" s="137" t="s">
        <v>776</v>
      </c>
      <c r="I64" s="106">
        <f>SUM(I65:I70)</f>
        <v>13682.619999999999</v>
      </c>
      <c r="J64" s="106">
        <f>SUM(J65:J70)</f>
        <v>11157.02</v>
      </c>
      <c r="K64" s="106">
        <f>SUM(K65:K70)</f>
        <v>10128.199999999999</v>
      </c>
      <c r="L64" s="139">
        <f>SUM(L65:L70)</f>
        <v>744</v>
      </c>
      <c r="M64" s="137" t="s">
        <v>916</v>
      </c>
      <c r="N64" s="137" t="s">
        <v>916</v>
      </c>
      <c r="O64" s="106">
        <v>4055618.86</v>
      </c>
      <c r="P64" s="106">
        <f t="shared" ref="P64:P128" si="1">O64/I64</f>
        <v>296.40659902854861</v>
      </c>
      <c r="Q64" s="106">
        <f>MAX(Q65:Q70)</f>
        <v>3321.838662308749</v>
      </c>
    </row>
    <row r="65" spans="1:17" ht="35.25" x14ac:dyDescent="0.5">
      <c r="A65" s="6">
        <v>1</v>
      </c>
      <c r="B65" s="92">
        <f>SUBTOTAL(103,$A$65:A65)</f>
        <v>1</v>
      </c>
      <c r="C65" s="141" t="s">
        <v>640</v>
      </c>
      <c r="D65" s="137">
        <v>1965</v>
      </c>
      <c r="E65" s="137"/>
      <c r="F65" s="138" t="s">
        <v>273</v>
      </c>
      <c r="G65" s="137">
        <v>5</v>
      </c>
      <c r="H65" s="137">
        <v>2</v>
      </c>
      <c r="I65" s="106">
        <v>2985.38</v>
      </c>
      <c r="J65" s="106">
        <v>2398.58</v>
      </c>
      <c r="K65" s="106">
        <v>1889.27</v>
      </c>
      <c r="L65" s="139">
        <v>202</v>
      </c>
      <c r="M65" s="137" t="s">
        <v>275</v>
      </c>
      <c r="N65" s="137" t="s">
        <v>1346</v>
      </c>
      <c r="O65" s="106">
        <v>806603.3</v>
      </c>
      <c r="P65" s="106">
        <f t="shared" si="1"/>
        <v>270.18446562916614</v>
      </c>
      <c r="Q65" s="106">
        <v>1724.9136887096449</v>
      </c>
    </row>
    <row r="66" spans="1:17" ht="35.25" x14ac:dyDescent="0.5">
      <c r="A66" s="6">
        <v>1</v>
      </c>
      <c r="B66" s="92">
        <f>SUBTOTAL(103,$A$65:A66)</f>
        <v>2</v>
      </c>
      <c r="C66" s="141" t="s">
        <v>1452</v>
      </c>
      <c r="D66" s="137">
        <v>1986</v>
      </c>
      <c r="E66" s="137"/>
      <c r="F66" s="138" t="s">
        <v>273</v>
      </c>
      <c r="G66" s="137">
        <v>4</v>
      </c>
      <c r="H66" s="137">
        <v>1</v>
      </c>
      <c r="I66" s="106">
        <v>2374.1999999999998</v>
      </c>
      <c r="J66" s="106">
        <v>1689.3</v>
      </c>
      <c r="K66" s="106">
        <v>1639.4</v>
      </c>
      <c r="L66" s="139">
        <v>151</v>
      </c>
      <c r="M66" s="137" t="s">
        <v>275</v>
      </c>
      <c r="N66" s="140" t="s">
        <v>1552</v>
      </c>
      <c r="O66" s="106">
        <v>746025</v>
      </c>
      <c r="P66" s="106">
        <f t="shared" si="1"/>
        <v>314.22163254991159</v>
      </c>
      <c r="Q66" s="106">
        <v>2295.502565074552</v>
      </c>
    </row>
    <row r="67" spans="1:17" ht="35.25" x14ac:dyDescent="0.5">
      <c r="A67" s="6">
        <v>1</v>
      </c>
      <c r="B67" s="92">
        <f>SUBTOTAL(103,$A$65:A67)</f>
        <v>3</v>
      </c>
      <c r="C67" s="141" t="s">
        <v>1453</v>
      </c>
      <c r="D67" s="137">
        <v>1969</v>
      </c>
      <c r="E67" s="137"/>
      <c r="F67" s="138" t="s">
        <v>273</v>
      </c>
      <c r="G67" s="137">
        <v>5</v>
      </c>
      <c r="H67" s="137">
        <v>4</v>
      </c>
      <c r="I67" s="106">
        <v>2953.64</v>
      </c>
      <c r="J67" s="106">
        <v>2684.14</v>
      </c>
      <c r="K67" s="106">
        <v>2616.34</v>
      </c>
      <c r="L67" s="139">
        <v>107</v>
      </c>
      <c r="M67" s="137" t="s">
        <v>275</v>
      </c>
      <c r="N67" s="140" t="s">
        <v>1110</v>
      </c>
      <c r="O67" s="106">
        <v>1849341.27</v>
      </c>
      <c r="P67" s="106">
        <f t="shared" si="1"/>
        <v>626.12277393318084</v>
      </c>
      <c r="Q67" s="106">
        <v>1659.9409745263472</v>
      </c>
    </row>
    <row r="68" spans="1:17" ht="35.25" x14ac:dyDescent="0.5">
      <c r="A68" s="6">
        <v>1</v>
      </c>
      <c r="B68" s="92">
        <f>SUBTOTAL(103,$A$65:A68)</f>
        <v>4</v>
      </c>
      <c r="C68" s="141" t="s">
        <v>1454</v>
      </c>
      <c r="D68" s="137">
        <v>1928</v>
      </c>
      <c r="E68" s="137"/>
      <c r="F68" s="138" t="s">
        <v>273</v>
      </c>
      <c r="G68" s="137">
        <v>3</v>
      </c>
      <c r="H68" s="137">
        <v>2</v>
      </c>
      <c r="I68" s="106">
        <v>884.1</v>
      </c>
      <c r="J68" s="106">
        <v>763.7</v>
      </c>
      <c r="K68" s="106">
        <v>441.4</v>
      </c>
      <c r="L68" s="139">
        <v>48</v>
      </c>
      <c r="M68" s="137" t="s">
        <v>275</v>
      </c>
      <c r="N68" s="137" t="s">
        <v>1553</v>
      </c>
      <c r="O68" s="106">
        <v>293914.46999999997</v>
      </c>
      <c r="P68" s="106">
        <f t="shared" si="1"/>
        <v>332.44482524601284</v>
      </c>
      <c r="Q68" s="106">
        <v>703.11</v>
      </c>
    </row>
    <row r="69" spans="1:17" ht="35.25" x14ac:dyDescent="0.5">
      <c r="A69" s="6">
        <v>1</v>
      </c>
      <c r="B69" s="92">
        <f>SUBTOTAL(103,$A$65:A69)</f>
        <v>5</v>
      </c>
      <c r="C69" s="141" t="s">
        <v>1455</v>
      </c>
      <c r="D69" s="137">
        <v>1958</v>
      </c>
      <c r="E69" s="137"/>
      <c r="F69" s="138" t="s">
        <v>273</v>
      </c>
      <c r="G69" s="137">
        <v>3</v>
      </c>
      <c r="H69" s="137">
        <v>3</v>
      </c>
      <c r="I69" s="106">
        <v>2111.1</v>
      </c>
      <c r="J69" s="106">
        <v>1932</v>
      </c>
      <c r="K69" s="106">
        <v>1902.39</v>
      </c>
      <c r="L69" s="139">
        <v>85</v>
      </c>
      <c r="M69" s="137" t="s">
        <v>272</v>
      </c>
      <c r="N69" s="137" t="s">
        <v>274</v>
      </c>
      <c r="O69" s="106">
        <v>247660</v>
      </c>
      <c r="P69" s="106">
        <f t="shared" si="1"/>
        <v>117.31324901710009</v>
      </c>
      <c r="Q69" s="106">
        <v>3321.838662308749</v>
      </c>
    </row>
    <row r="70" spans="1:17" ht="35.25" x14ac:dyDescent="0.5">
      <c r="A70" s="6">
        <v>1</v>
      </c>
      <c r="B70" s="92">
        <f>SUBTOTAL(103,$A$65:A70)</f>
        <v>6</v>
      </c>
      <c r="C70" s="141" t="s">
        <v>1456</v>
      </c>
      <c r="D70" s="137">
        <v>1986</v>
      </c>
      <c r="E70" s="137"/>
      <c r="F70" s="138" t="s">
        <v>273</v>
      </c>
      <c r="G70" s="137">
        <v>4</v>
      </c>
      <c r="H70" s="137">
        <v>1</v>
      </c>
      <c r="I70" s="106">
        <v>2374.1999999999998</v>
      </c>
      <c r="J70" s="106">
        <v>1689.3</v>
      </c>
      <c r="K70" s="106">
        <v>1639.4</v>
      </c>
      <c r="L70" s="139">
        <v>151</v>
      </c>
      <c r="M70" s="137" t="s">
        <v>275</v>
      </c>
      <c r="N70" s="137" t="s">
        <v>1552</v>
      </c>
      <c r="O70" s="106">
        <v>112074.81999999999</v>
      </c>
      <c r="P70" s="106">
        <f t="shared" si="1"/>
        <v>47.205298626905908</v>
      </c>
      <c r="Q70" s="106">
        <v>2800.9460028641229</v>
      </c>
    </row>
    <row r="71" spans="1:17" ht="35.25" x14ac:dyDescent="0.5">
      <c r="B71" s="136" t="s">
        <v>844</v>
      </c>
      <c r="C71" s="141"/>
      <c r="D71" s="137" t="s">
        <v>776</v>
      </c>
      <c r="E71" s="137" t="s">
        <v>776</v>
      </c>
      <c r="F71" s="137" t="s">
        <v>776</v>
      </c>
      <c r="G71" s="137" t="s">
        <v>776</v>
      </c>
      <c r="H71" s="137" t="s">
        <v>776</v>
      </c>
      <c r="I71" s="106">
        <f>I72+I73</f>
        <v>1994.9</v>
      </c>
      <c r="J71" s="106">
        <f>J72+J73</f>
        <v>1785.1999999999998</v>
      </c>
      <c r="K71" s="106">
        <f>K72+K73</f>
        <v>1722.9</v>
      </c>
      <c r="L71" s="139">
        <f>L72+L73</f>
        <v>91</v>
      </c>
      <c r="M71" s="137" t="s">
        <v>916</v>
      </c>
      <c r="N71" s="137" t="s">
        <v>916</v>
      </c>
      <c r="O71" s="106">
        <v>36746.29</v>
      </c>
      <c r="P71" s="106">
        <f t="shared" si="1"/>
        <v>18.420116296556216</v>
      </c>
      <c r="Q71" s="106">
        <f>MAX(Q72:Q73)</f>
        <v>5303.8407140144318</v>
      </c>
    </row>
    <row r="72" spans="1:17" ht="35.25" x14ac:dyDescent="0.5">
      <c r="A72" s="6">
        <v>1</v>
      </c>
      <c r="B72" s="92">
        <f>SUBTOTAL(103,$A$65:A72)</f>
        <v>7</v>
      </c>
      <c r="C72" s="141" t="s">
        <v>1457</v>
      </c>
      <c r="D72" s="137">
        <v>1979</v>
      </c>
      <c r="E72" s="137"/>
      <c r="F72" s="138" t="s">
        <v>273</v>
      </c>
      <c r="G72" s="137">
        <v>2</v>
      </c>
      <c r="H72" s="137">
        <v>3</v>
      </c>
      <c r="I72" s="106">
        <v>1053.2</v>
      </c>
      <c r="J72" s="106">
        <v>928.3</v>
      </c>
      <c r="K72" s="106">
        <v>866</v>
      </c>
      <c r="L72" s="139">
        <v>38</v>
      </c>
      <c r="M72" s="137" t="s">
        <v>272</v>
      </c>
      <c r="N72" s="140" t="s">
        <v>274</v>
      </c>
      <c r="O72" s="106">
        <v>11476.890000000001</v>
      </c>
      <c r="P72" s="106">
        <f t="shared" si="1"/>
        <v>10.897161033042158</v>
      </c>
      <c r="Q72" s="106">
        <v>5303.8407140144318</v>
      </c>
    </row>
    <row r="73" spans="1:17" ht="35.25" x14ac:dyDescent="0.5">
      <c r="A73" s="6">
        <v>1</v>
      </c>
      <c r="B73" s="92">
        <f>SUBTOTAL(103,$A$65:A73)</f>
        <v>8</v>
      </c>
      <c r="C73" s="141" t="s">
        <v>1458</v>
      </c>
      <c r="D73" s="137">
        <v>1980</v>
      </c>
      <c r="E73" s="137"/>
      <c r="F73" s="138" t="s">
        <v>273</v>
      </c>
      <c r="G73" s="137">
        <v>2</v>
      </c>
      <c r="H73" s="137">
        <v>3</v>
      </c>
      <c r="I73" s="106">
        <v>941.7</v>
      </c>
      <c r="J73" s="106">
        <v>856.9</v>
      </c>
      <c r="K73" s="106">
        <v>856.9</v>
      </c>
      <c r="L73" s="139">
        <v>53</v>
      </c>
      <c r="M73" s="137" t="s">
        <v>272</v>
      </c>
      <c r="N73" s="140" t="s">
        <v>274</v>
      </c>
      <c r="O73" s="106">
        <v>25269.399999999998</v>
      </c>
      <c r="P73" s="106">
        <f t="shared" si="1"/>
        <v>26.833811192524156</v>
      </c>
      <c r="Q73" s="106">
        <v>4789.1187851757459</v>
      </c>
    </row>
    <row r="74" spans="1:17" ht="35.25" x14ac:dyDescent="0.5">
      <c r="B74" s="136" t="s">
        <v>1074</v>
      </c>
      <c r="C74" s="141"/>
      <c r="D74" s="137" t="s">
        <v>776</v>
      </c>
      <c r="E74" s="137" t="s">
        <v>776</v>
      </c>
      <c r="F74" s="138" t="s">
        <v>776</v>
      </c>
      <c r="G74" s="137" t="s">
        <v>776</v>
      </c>
      <c r="H74" s="137" t="s">
        <v>776</v>
      </c>
      <c r="I74" s="106">
        <f>SUM(I75:I90)</f>
        <v>25751.239999999998</v>
      </c>
      <c r="J74" s="106">
        <f>SUM(J75:J90)</f>
        <v>21750.039999999997</v>
      </c>
      <c r="K74" s="106">
        <f>SUM(K75:K90)</f>
        <v>19819.400000000001</v>
      </c>
      <c r="L74" s="139">
        <f>SUM(L75:L90)</f>
        <v>1014</v>
      </c>
      <c r="M74" s="137" t="s">
        <v>916</v>
      </c>
      <c r="N74" s="137" t="s">
        <v>916</v>
      </c>
      <c r="O74" s="106">
        <v>1862310.1700000002</v>
      </c>
      <c r="P74" s="106">
        <f t="shared" si="1"/>
        <v>72.31924249084706</v>
      </c>
      <c r="Q74" s="106">
        <f>MAX(Q75:Q89)</f>
        <v>20482.818986175116</v>
      </c>
    </row>
    <row r="75" spans="1:17" ht="35.25" x14ac:dyDescent="0.5">
      <c r="A75" s="6">
        <v>1</v>
      </c>
      <c r="B75" s="92">
        <f>SUBTOTAL(103,$A$65:A75)</f>
        <v>9</v>
      </c>
      <c r="C75" s="141" t="s">
        <v>1459</v>
      </c>
      <c r="D75" s="137">
        <v>1966</v>
      </c>
      <c r="E75" s="137"/>
      <c r="F75" s="138" t="s">
        <v>273</v>
      </c>
      <c r="G75" s="137">
        <v>5</v>
      </c>
      <c r="H75" s="137">
        <v>4</v>
      </c>
      <c r="I75" s="106">
        <v>4070</v>
      </c>
      <c r="J75" s="106">
        <v>3151.1</v>
      </c>
      <c r="K75" s="106">
        <v>2925.4</v>
      </c>
      <c r="L75" s="139">
        <v>137</v>
      </c>
      <c r="M75" s="137" t="s">
        <v>275</v>
      </c>
      <c r="N75" s="140" t="s">
        <v>1555</v>
      </c>
      <c r="O75" s="106">
        <v>13062.04</v>
      </c>
      <c r="P75" s="106">
        <f t="shared" si="1"/>
        <v>3.2093464373464378</v>
      </c>
      <c r="Q75" s="106">
        <v>1663.6155282555283</v>
      </c>
    </row>
    <row r="76" spans="1:17" ht="35.25" x14ac:dyDescent="0.5">
      <c r="A76" s="6">
        <v>1</v>
      </c>
      <c r="B76" s="92">
        <f>SUBTOTAL(103,$A$65:A76)</f>
        <v>10</v>
      </c>
      <c r="C76" s="141" t="s">
        <v>1460</v>
      </c>
      <c r="D76" s="137">
        <v>1960</v>
      </c>
      <c r="E76" s="137">
        <v>2006</v>
      </c>
      <c r="F76" s="138" t="s">
        <v>273</v>
      </c>
      <c r="G76" s="137">
        <v>2</v>
      </c>
      <c r="H76" s="137">
        <v>3</v>
      </c>
      <c r="I76" s="106">
        <v>1011.9</v>
      </c>
      <c r="J76" s="106">
        <v>804.7</v>
      </c>
      <c r="K76" s="106">
        <v>655.4</v>
      </c>
      <c r="L76" s="139">
        <v>42</v>
      </c>
      <c r="M76" s="137" t="s">
        <v>275</v>
      </c>
      <c r="N76" s="140" t="s">
        <v>1556</v>
      </c>
      <c r="O76" s="106">
        <v>173871.57</v>
      </c>
      <c r="P76" s="106">
        <f t="shared" si="1"/>
        <v>171.8268307144975</v>
      </c>
      <c r="Q76" s="106">
        <v>4350.0546844549854</v>
      </c>
    </row>
    <row r="77" spans="1:17" ht="35.25" x14ac:dyDescent="0.5">
      <c r="A77" s="6">
        <v>1</v>
      </c>
      <c r="B77" s="92">
        <f>SUBTOTAL(103,$A$65:A77)</f>
        <v>11</v>
      </c>
      <c r="C77" s="141" t="s">
        <v>1461</v>
      </c>
      <c r="D77" s="137">
        <v>1951</v>
      </c>
      <c r="E77" s="137"/>
      <c r="F77" s="138" t="s">
        <v>273</v>
      </c>
      <c r="G77" s="137">
        <v>2</v>
      </c>
      <c r="H77" s="137">
        <v>2</v>
      </c>
      <c r="I77" s="106">
        <v>695</v>
      </c>
      <c r="J77" s="106">
        <v>626.9</v>
      </c>
      <c r="K77" s="106">
        <v>626.9</v>
      </c>
      <c r="L77" s="139">
        <v>33</v>
      </c>
      <c r="M77" s="137" t="s">
        <v>275</v>
      </c>
      <c r="N77" s="140" t="s">
        <v>1017</v>
      </c>
      <c r="O77" s="106">
        <v>82406.94</v>
      </c>
      <c r="P77" s="106">
        <f t="shared" si="1"/>
        <v>118.57113669064749</v>
      </c>
      <c r="Q77" s="106">
        <v>6567.3702158273381</v>
      </c>
    </row>
    <row r="78" spans="1:17" ht="35.25" x14ac:dyDescent="0.5">
      <c r="A78" s="6">
        <v>1</v>
      </c>
      <c r="B78" s="92">
        <f>SUBTOTAL(103,$A$65:A78)</f>
        <v>12</v>
      </c>
      <c r="C78" s="141" t="s">
        <v>1462</v>
      </c>
      <c r="D78" s="137">
        <v>1953</v>
      </c>
      <c r="E78" s="137">
        <v>2006</v>
      </c>
      <c r="F78" s="138" t="s">
        <v>273</v>
      </c>
      <c r="G78" s="137">
        <v>2</v>
      </c>
      <c r="H78" s="137">
        <v>1</v>
      </c>
      <c r="I78" s="106">
        <v>537.54</v>
      </c>
      <c r="J78" s="106">
        <v>501.3</v>
      </c>
      <c r="K78" s="106">
        <v>310.2</v>
      </c>
      <c r="L78" s="139">
        <v>37</v>
      </c>
      <c r="M78" s="137" t="s">
        <v>275</v>
      </c>
      <c r="N78" s="140" t="s">
        <v>1554</v>
      </c>
      <c r="O78" s="106">
        <v>48720</v>
      </c>
      <c r="P78" s="106">
        <f t="shared" si="1"/>
        <v>90.635115526286427</v>
      </c>
      <c r="Q78" s="106">
        <v>5589.525653904826</v>
      </c>
    </row>
    <row r="79" spans="1:17" ht="35.25" x14ac:dyDescent="0.5">
      <c r="A79" s="6">
        <v>1</v>
      </c>
      <c r="B79" s="92">
        <f>SUBTOTAL(103,$A$65:A79)</f>
        <v>13</v>
      </c>
      <c r="C79" s="141" t="s">
        <v>1463</v>
      </c>
      <c r="D79" s="137">
        <v>1958</v>
      </c>
      <c r="E79" s="137">
        <v>2007</v>
      </c>
      <c r="F79" s="138" t="s">
        <v>273</v>
      </c>
      <c r="G79" s="137">
        <v>2</v>
      </c>
      <c r="H79" s="137">
        <v>2</v>
      </c>
      <c r="I79" s="106">
        <v>854.8</v>
      </c>
      <c r="J79" s="106">
        <v>789.8</v>
      </c>
      <c r="K79" s="106">
        <v>434.07</v>
      </c>
      <c r="L79" s="139">
        <v>42</v>
      </c>
      <c r="M79" s="137" t="s">
        <v>275</v>
      </c>
      <c r="N79" s="140" t="s">
        <v>1556</v>
      </c>
      <c r="O79" s="106">
        <v>27496.35</v>
      </c>
      <c r="P79" s="106">
        <f t="shared" si="1"/>
        <v>32.166998128217124</v>
      </c>
      <c r="Q79" s="106">
        <v>4498.0259241927943</v>
      </c>
    </row>
    <row r="80" spans="1:17" ht="35.25" x14ac:dyDescent="0.5">
      <c r="A80" s="6">
        <v>1</v>
      </c>
      <c r="B80" s="92">
        <f>SUBTOTAL(103,$A$65:A80)</f>
        <v>14</v>
      </c>
      <c r="C80" s="141" t="s">
        <v>1464</v>
      </c>
      <c r="D80" s="137">
        <v>1940</v>
      </c>
      <c r="E80" s="137"/>
      <c r="F80" s="138" t="s">
        <v>273</v>
      </c>
      <c r="G80" s="137">
        <v>3</v>
      </c>
      <c r="H80" s="137">
        <v>2</v>
      </c>
      <c r="I80" s="106">
        <v>1189.4000000000001</v>
      </c>
      <c r="J80" s="106">
        <v>1119.5999999999999</v>
      </c>
      <c r="K80" s="106">
        <v>1021.2</v>
      </c>
      <c r="L80" s="139">
        <v>46</v>
      </c>
      <c r="M80" s="137" t="s">
        <v>275</v>
      </c>
      <c r="N80" s="140" t="s">
        <v>357</v>
      </c>
      <c r="O80" s="106">
        <v>381944.5</v>
      </c>
      <c r="P80" s="106">
        <f t="shared" si="1"/>
        <v>321.12367580292585</v>
      </c>
      <c r="Q80" s="106">
        <v>3278.3938960820583</v>
      </c>
    </row>
    <row r="81" spans="1:17" ht="35.25" x14ac:dyDescent="0.5">
      <c r="A81" s="6">
        <v>1</v>
      </c>
      <c r="B81" s="92">
        <f>SUBTOTAL(103,$A$65:A81)</f>
        <v>15</v>
      </c>
      <c r="C81" s="141" t="s">
        <v>1465</v>
      </c>
      <c r="D81" s="137">
        <v>1961</v>
      </c>
      <c r="E81" s="137"/>
      <c r="F81" s="138" t="s">
        <v>273</v>
      </c>
      <c r="G81" s="137">
        <v>4</v>
      </c>
      <c r="H81" s="137">
        <v>3</v>
      </c>
      <c r="I81" s="106">
        <v>2136.1</v>
      </c>
      <c r="J81" s="106">
        <v>1990.2</v>
      </c>
      <c r="K81" s="106">
        <v>1946.2</v>
      </c>
      <c r="L81" s="139">
        <v>89</v>
      </c>
      <c r="M81" s="137" t="s">
        <v>275</v>
      </c>
      <c r="N81" s="140" t="s">
        <v>1017</v>
      </c>
      <c r="O81" s="106">
        <v>16240</v>
      </c>
      <c r="P81" s="106">
        <f t="shared" si="1"/>
        <v>7.6026403258274424</v>
      </c>
      <c r="Q81" s="106">
        <v>1957.9184881793922</v>
      </c>
    </row>
    <row r="82" spans="1:17" ht="35.25" x14ac:dyDescent="0.5">
      <c r="A82" s="6">
        <v>1</v>
      </c>
      <c r="B82" s="92">
        <f>SUBTOTAL(103,$A$65:A82)</f>
        <v>16</v>
      </c>
      <c r="C82" s="141" t="s">
        <v>1467</v>
      </c>
      <c r="D82" s="137">
        <v>1935</v>
      </c>
      <c r="E82" s="137"/>
      <c r="F82" s="138" t="s">
        <v>273</v>
      </c>
      <c r="G82" s="137">
        <v>2</v>
      </c>
      <c r="H82" s="137">
        <v>2</v>
      </c>
      <c r="I82" s="106">
        <v>474.9</v>
      </c>
      <c r="J82" s="106">
        <v>427.5</v>
      </c>
      <c r="K82" s="106">
        <v>427.5</v>
      </c>
      <c r="L82" s="139">
        <v>15</v>
      </c>
      <c r="M82" s="137" t="s">
        <v>275</v>
      </c>
      <c r="N82" s="140" t="s">
        <v>357</v>
      </c>
      <c r="O82" s="106">
        <v>517650</v>
      </c>
      <c r="P82" s="106">
        <f t="shared" si="1"/>
        <v>1090.0189513581806</v>
      </c>
      <c r="Q82" s="106">
        <v>12914.041667719521</v>
      </c>
    </row>
    <row r="83" spans="1:17" ht="35.25" x14ac:dyDescent="0.5">
      <c r="A83" s="6">
        <v>1</v>
      </c>
      <c r="B83" s="92">
        <f>SUBTOTAL(103,$A$65:A83)</f>
        <v>17</v>
      </c>
      <c r="C83" s="141" t="s">
        <v>1149</v>
      </c>
      <c r="D83" s="137">
        <v>1991</v>
      </c>
      <c r="E83" s="137">
        <v>2010</v>
      </c>
      <c r="F83" s="138" t="s">
        <v>1351</v>
      </c>
      <c r="G83" s="137">
        <v>13</v>
      </c>
      <c r="H83" s="137">
        <v>1</v>
      </c>
      <c r="I83" s="106">
        <v>4135.3</v>
      </c>
      <c r="J83" s="106">
        <v>3928.9</v>
      </c>
      <c r="K83" s="106">
        <v>3680.79</v>
      </c>
      <c r="L83" s="139">
        <v>225</v>
      </c>
      <c r="M83" s="140" t="s">
        <v>275</v>
      </c>
      <c r="N83" s="142" t="s">
        <v>356</v>
      </c>
      <c r="O83" s="106">
        <v>148190</v>
      </c>
      <c r="P83" s="106">
        <f t="shared" si="1"/>
        <v>35.835368655236621</v>
      </c>
      <c r="Q83" s="106">
        <v>590.61394336565661</v>
      </c>
    </row>
    <row r="84" spans="1:17" ht="35.25" x14ac:dyDescent="0.5">
      <c r="A84" s="6">
        <v>1</v>
      </c>
      <c r="B84" s="92">
        <f>SUBTOTAL(103,$A$65:A84)</f>
        <v>18</v>
      </c>
      <c r="C84" s="141" t="s">
        <v>1466</v>
      </c>
      <c r="D84" s="137">
        <v>1941</v>
      </c>
      <c r="E84" s="137"/>
      <c r="F84" s="138" t="s">
        <v>1351</v>
      </c>
      <c r="G84" s="137">
        <v>2</v>
      </c>
      <c r="H84" s="137">
        <v>2</v>
      </c>
      <c r="I84" s="106">
        <v>730.5</v>
      </c>
      <c r="J84" s="106">
        <v>672.5</v>
      </c>
      <c r="K84" s="106">
        <v>672.5</v>
      </c>
      <c r="L84" s="139">
        <v>34</v>
      </c>
      <c r="M84" s="140" t="s">
        <v>272</v>
      </c>
      <c r="N84" s="142" t="s">
        <v>274</v>
      </c>
      <c r="O84" s="106">
        <v>10902.52</v>
      </c>
      <c r="P84" s="106">
        <f t="shared" si="1"/>
        <v>14.924736481861739</v>
      </c>
      <c r="Q84" s="106">
        <v>4816.5061190965098</v>
      </c>
    </row>
    <row r="85" spans="1:17" ht="35.25" x14ac:dyDescent="0.5">
      <c r="A85" s="6">
        <v>1</v>
      </c>
      <c r="B85" s="92">
        <f>SUBTOTAL(103,$A$65:A85)</f>
        <v>19</v>
      </c>
      <c r="C85" s="141" t="s">
        <v>1468</v>
      </c>
      <c r="D85" s="137">
        <v>1959</v>
      </c>
      <c r="E85" s="137"/>
      <c r="F85" s="138" t="s">
        <v>273</v>
      </c>
      <c r="G85" s="137">
        <v>4</v>
      </c>
      <c r="H85" s="137">
        <v>3</v>
      </c>
      <c r="I85" s="106">
        <v>3123</v>
      </c>
      <c r="J85" s="106">
        <v>2505.0300000000002</v>
      </c>
      <c r="K85" s="106">
        <v>2369.63</v>
      </c>
      <c r="L85" s="139">
        <v>89</v>
      </c>
      <c r="M85" s="142" t="s">
        <v>275</v>
      </c>
      <c r="N85" s="142" t="s">
        <v>1350</v>
      </c>
      <c r="O85" s="106">
        <v>17378.54</v>
      </c>
      <c r="P85" s="106">
        <f t="shared" si="1"/>
        <v>5.5646942042907463</v>
      </c>
      <c r="Q85" s="106">
        <v>2237.768735190522</v>
      </c>
    </row>
    <row r="86" spans="1:17" ht="35.25" x14ac:dyDescent="0.5">
      <c r="A86" s="6">
        <v>1</v>
      </c>
      <c r="B86" s="92">
        <f>SUBTOTAL(103,$A$65:A86)</f>
        <v>20</v>
      </c>
      <c r="C86" s="141" t="s">
        <v>1540</v>
      </c>
      <c r="D86" s="137">
        <v>1953</v>
      </c>
      <c r="E86" s="137">
        <v>2008</v>
      </c>
      <c r="F86" s="138" t="s">
        <v>273</v>
      </c>
      <c r="G86" s="137">
        <v>2</v>
      </c>
      <c r="H86" s="137">
        <v>1</v>
      </c>
      <c r="I86" s="106">
        <v>520.79999999999995</v>
      </c>
      <c r="J86" s="106">
        <v>480.7</v>
      </c>
      <c r="K86" s="106">
        <v>406.6</v>
      </c>
      <c r="L86" s="139">
        <v>27</v>
      </c>
      <c r="M86" s="142" t="s">
        <v>275</v>
      </c>
      <c r="N86" s="142" t="s">
        <v>356</v>
      </c>
      <c r="O86" s="106">
        <v>130104.73</v>
      </c>
      <c r="P86" s="106">
        <f t="shared" si="1"/>
        <v>249.81706989247314</v>
      </c>
      <c r="Q86" s="106">
        <v>20482.818986175116</v>
      </c>
    </row>
    <row r="87" spans="1:17" ht="35.25" x14ac:dyDescent="0.5">
      <c r="A87" s="6">
        <v>1</v>
      </c>
      <c r="B87" s="92">
        <f>SUBTOTAL(103,$A$65:A87)</f>
        <v>21</v>
      </c>
      <c r="C87" s="141" t="s">
        <v>1541</v>
      </c>
      <c r="D87" s="137">
        <v>1936</v>
      </c>
      <c r="E87" s="137">
        <v>2008</v>
      </c>
      <c r="F87" s="138" t="s">
        <v>273</v>
      </c>
      <c r="G87" s="137">
        <v>3</v>
      </c>
      <c r="H87" s="137">
        <v>4</v>
      </c>
      <c r="I87" s="106">
        <v>1637.8</v>
      </c>
      <c r="J87" s="106">
        <v>1246.5999999999999</v>
      </c>
      <c r="K87" s="106">
        <v>1142.8</v>
      </c>
      <c r="L87" s="139">
        <v>53</v>
      </c>
      <c r="M87" s="142" t="s">
        <v>275</v>
      </c>
      <c r="N87" s="142" t="s">
        <v>357</v>
      </c>
      <c r="O87" s="106">
        <v>159880.76999999999</v>
      </c>
      <c r="P87" s="106">
        <f t="shared" si="1"/>
        <v>97.619227011845155</v>
      </c>
      <c r="Q87" s="106">
        <v>2298.2566612529004</v>
      </c>
    </row>
    <row r="88" spans="1:17" ht="35.25" x14ac:dyDescent="0.5">
      <c r="A88" s="6">
        <v>1</v>
      </c>
      <c r="B88" s="92">
        <f>SUBTOTAL(103,$A$65:A88)</f>
        <v>22</v>
      </c>
      <c r="C88" s="141" t="s">
        <v>1542</v>
      </c>
      <c r="D88" s="137">
        <v>1950</v>
      </c>
      <c r="E88" s="137"/>
      <c r="F88" s="138" t="s">
        <v>273</v>
      </c>
      <c r="G88" s="137">
        <v>2</v>
      </c>
      <c r="H88" s="137">
        <v>1</v>
      </c>
      <c r="I88" s="106">
        <v>459.9</v>
      </c>
      <c r="J88" s="106">
        <v>417.6</v>
      </c>
      <c r="K88" s="106">
        <v>417.6</v>
      </c>
      <c r="L88" s="139">
        <v>24</v>
      </c>
      <c r="M88" s="142" t="s">
        <v>275</v>
      </c>
      <c r="N88" s="142" t="s">
        <v>1017</v>
      </c>
      <c r="O88" s="106">
        <v>9498.3700000000008</v>
      </c>
      <c r="P88" s="106">
        <f t="shared" si="1"/>
        <v>20.653120243531205</v>
      </c>
      <c r="Q88" s="106">
        <v>7229.8390954555343</v>
      </c>
    </row>
    <row r="89" spans="1:17" ht="35.25" x14ac:dyDescent="0.5">
      <c r="A89" s="6">
        <v>1</v>
      </c>
      <c r="B89" s="92">
        <f>SUBTOTAL(103,$A$65:A89)</f>
        <v>23</v>
      </c>
      <c r="C89" s="141" t="s">
        <v>1543</v>
      </c>
      <c r="D89" s="137">
        <v>1961</v>
      </c>
      <c r="E89" s="137"/>
      <c r="F89" s="138" t="s">
        <v>273</v>
      </c>
      <c r="G89" s="137">
        <v>4</v>
      </c>
      <c r="H89" s="137">
        <v>2</v>
      </c>
      <c r="I89" s="106">
        <v>2794.3</v>
      </c>
      <c r="J89" s="106">
        <v>1973.11</v>
      </c>
      <c r="K89" s="106">
        <v>1887.11</v>
      </c>
      <c r="L89" s="139">
        <v>86</v>
      </c>
      <c r="M89" s="142" t="s">
        <v>275</v>
      </c>
      <c r="N89" s="142" t="s">
        <v>1617</v>
      </c>
      <c r="O89" s="106">
        <v>61000.49</v>
      </c>
      <c r="P89" s="106">
        <f t="shared" si="1"/>
        <v>21.830329599541923</v>
      </c>
      <c r="Q89" s="106">
        <v>1745.9421751422537</v>
      </c>
    </row>
    <row r="90" spans="1:17" ht="35.25" x14ac:dyDescent="0.5">
      <c r="A90" s="6">
        <v>1</v>
      </c>
      <c r="B90" s="92">
        <f>SUBTOTAL(103,$A$65:A90)</f>
        <v>24</v>
      </c>
      <c r="C90" s="141" t="s">
        <v>1653</v>
      </c>
      <c r="D90" s="137">
        <v>1952</v>
      </c>
      <c r="E90" s="137"/>
      <c r="F90" s="138" t="s">
        <v>344</v>
      </c>
      <c r="G90" s="137">
        <v>2</v>
      </c>
      <c r="H90" s="137">
        <v>3</v>
      </c>
      <c r="I90" s="106">
        <v>1380</v>
      </c>
      <c r="J90" s="106">
        <v>1114.5</v>
      </c>
      <c r="K90" s="106">
        <v>895.5</v>
      </c>
      <c r="L90" s="139">
        <v>35</v>
      </c>
      <c r="M90" s="142" t="s">
        <v>275</v>
      </c>
      <c r="N90" s="142" t="s">
        <v>1652</v>
      </c>
      <c r="O90" s="106">
        <v>63963.35</v>
      </c>
      <c r="P90" s="106">
        <f t="shared" si="1"/>
        <v>46.350253623188408</v>
      </c>
      <c r="Q90" s="106">
        <v>4007.16</v>
      </c>
    </row>
    <row r="91" spans="1:17" ht="35.25" x14ac:dyDescent="0.5">
      <c r="B91" s="136" t="s">
        <v>848</v>
      </c>
      <c r="C91" s="141"/>
      <c r="D91" s="137" t="s">
        <v>776</v>
      </c>
      <c r="E91" s="137" t="s">
        <v>776</v>
      </c>
      <c r="F91" s="138" t="s">
        <v>776</v>
      </c>
      <c r="G91" s="137" t="s">
        <v>776</v>
      </c>
      <c r="H91" s="137" t="s">
        <v>776</v>
      </c>
      <c r="I91" s="106">
        <f>SUM(I92:I97)</f>
        <v>13339.4</v>
      </c>
      <c r="J91" s="106">
        <f>SUM(J92:J97)</f>
        <v>7930.2999999999993</v>
      </c>
      <c r="K91" s="106">
        <f>SUM(K92:K97)</f>
        <v>6561.3</v>
      </c>
      <c r="L91" s="139">
        <f>SUM(L92:L97)</f>
        <v>416</v>
      </c>
      <c r="M91" s="137" t="s">
        <v>916</v>
      </c>
      <c r="N91" s="137" t="s">
        <v>916</v>
      </c>
      <c r="O91" s="106">
        <v>7701832.5299999993</v>
      </c>
      <c r="P91" s="106">
        <f t="shared" si="1"/>
        <v>577.37473424591803</v>
      </c>
      <c r="Q91" s="106">
        <f>MAX(Q92:Q97)</f>
        <v>5706.4816787065702</v>
      </c>
    </row>
    <row r="92" spans="1:17" ht="35.25" x14ac:dyDescent="0.5">
      <c r="A92" s="6">
        <v>1</v>
      </c>
      <c r="B92" s="92">
        <f>SUBTOTAL(103,$A$65:A92)</f>
        <v>25</v>
      </c>
      <c r="C92" s="141" t="s">
        <v>1469</v>
      </c>
      <c r="D92" s="137">
        <v>1992</v>
      </c>
      <c r="E92" s="137"/>
      <c r="F92" s="138" t="s">
        <v>273</v>
      </c>
      <c r="G92" s="137">
        <v>3</v>
      </c>
      <c r="H92" s="137">
        <v>3</v>
      </c>
      <c r="I92" s="106">
        <v>3997</v>
      </c>
      <c r="J92" s="106">
        <v>1901.1</v>
      </c>
      <c r="K92" s="106">
        <v>1791.5</v>
      </c>
      <c r="L92" s="139">
        <v>73</v>
      </c>
      <c r="M92" s="137" t="s">
        <v>275</v>
      </c>
      <c r="N92" s="140" t="s">
        <v>1557</v>
      </c>
      <c r="O92" s="106">
        <v>5491611.8300000001</v>
      </c>
      <c r="P92" s="106">
        <f t="shared" si="1"/>
        <v>1373.9334075556667</v>
      </c>
      <c r="Q92" s="106">
        <v>1736.3492819614712</v>
      </c>
    </row>
    <row r="93" spans="1:17" ht="35.25" x14ac:dyDescent="0.5">
      <c r="A93" s="6">
        <v>1</v>
      </c>
      <c r="B93" s="92">
        <f>SUBTOTAL(103,$A$65:A93)</f>
        <v>26</v>
      </c>
      <c r="C93" s="141" t="s">
        <v>1470</v>
      </c>
      <c r="D93" s="137">
        <v>1983</v>
      </c>
      <c r="E93" s="137"/>
      <c r="F93" s="138" t="s">
        <v>319</v>
      </c>
      <c r="G93" s="137">
        <v>5</v>
      </c>
      <c r="H93" s="137">
        <v>4</v>
      </c>
      <c r="I93" s="106">
        <v>4357</v>
      </c>
      <c r="J93" s="106">
        <v>1821.4</v>
      </c>
      <c r="K93" s="106">
        <v>1678.3</v>
      </c>
      <c r="L93" s="139">
        <v>159</v>
      </c>
      <c r="M93" s="137" t="s">
        <v>275</v>
      </c>
      <c r="N93" s="140" t="s">
        <v>1557</v>
      </c>
      <c r="O93" s="106">
        <v>1854405</v>
      </c>
      <c r="P93" s="106">
        <f t="shared" si="1"/>
        <v>425.61510213449623</v>
      </c>
      <c r="Q93" s="106">
        <v>1127.366593986688</v>
      </c>
    </row>
    <row r="94" spans="1:17" ht="35.25" x14ac:dyDescent="0.5">
      <c r="A94" s="6">
        <v>1</v>
      </c>
      <c r="B94" s="92">
        <f>SUBTOTAL(103,$A$65:A94)</f>
        <v>27</v>
      </c>
      <c r="C94" s="141" t="s">
        <v>1471</v>
      </c>
      <c r="D94" s="137">
        <v>1940</v>
      </c>
      <c r="E94" s="137"/>
      <c r="F94" s="138" t="s">
        <v>273</v>
      </c>
      <c r="G94" s="137">
        <v>3</v>
      </c>
      <c r="H94" s="137">
        <v>3</v>
      </c>
      <c r="I94" s="106">
        <v>2021</v>
      </c>
      <c r="J94" s="106">
        <v>1886.9</v>
      </c>
      <c r="K94" s="106">
        <v>1320.5</v>
      </c>
      <c r="L94" s="139">
        <v>47</v>
      </c>
      <c r="M94" s="137" t="s">
        <v>275</v>
      </c>
      <c r="N94" s="140" t="s">
        <v>1558</v>
      </c>
      <c r="O94" s="106">
        <v>72573.049999999988</v>
      </c>
      <c r="P94" s="106">
        <f t="shared" si="1"/>
        <v>35.909475507174662</v>
      </c>
      <c r="Q94" s="106">
        <v>3710.9133387431962</v>
      </c>
    </row>
    <row r="95" spans="1:17" ht="35.25" x14ac:dyDescent="0.5">
      <c r="A95" s="6">
        <v>1</v>
      </c>
      <c r="B95" s="92">
        <f>SUBTOTAL(103,$A$65:A95)</f>
        <v>28</v>
      </c>
      <c r="C95" s="141" t="s">
        <v>1472</v>
      </c>
      <c r="D95" s="137">
        <v>1994</v>
      </c>
      <c r="E95" s="137"/>
      <c r="F95" s="138" t="s">
        <v>273</v>
      </c>
      <c r="G95" s="137">
        <v>3</v>
      </c>
      <c r="H95" s="137">
        <v>3</v>
      </c>
      <c r="I95" s="106">
        <v>1540.3</v>
      </c>
      <c r="J95" s="106">
        <v>1362.4</v>
      </c>
      <c r="K95" s="106">
        <v>1247.3</v>
      </c>
      <c r="L95" s="139">
        <v>65</v>
      </c>
      <c r="M95" s="137" t="s">
        <v>272</v>
      </c>
      <c r="N95" s="140" t="s">
        <v>274</v>
      </c>
      <c r="O95" s="106">
        <v>166460</v>
      </c>
      <c r="P95" s="106">
        <f t="shared" si="1"/>
        <v>108.06985652145686</v>
      </c>
      <c r="Q95" s="106">
        <v>3289.0316691553599</v>
      </c>
    </row>
    <row r="96" spans="1:17" ht="35.25" x14ac:dyDescent="0.5">
      <c r="A96" s="6">
        <v>1</v>
      </c>
      <c r="B96" s="92">
        <f>SUBTOTAL(103,$A$65:A96)</f>
        <v>29</v>
      </c>
      <c r="C96" s="141" t="s">
        <v>1473</v>
      </c>
      <c r="D96" s="137">
        <v>1955</v>
      </c>
      <c r="E96" s="137"/>
      <c r="F96" s="138" t="s">
        <v>273</v>
      </c>
      <c r="G96" s="137">
        <v>2</v>
      </c>
      <c r="H96" s="137">
        <v>2</v>
      </c>
      <c r="I96" s="106">
        <v>872.1</v>
      </c>
      <c r="J96" s="106">
        <v>557</v>
      </c>
      <c r="K96" s="106">
        <v>255.4</v>
      </c>
      <c r="L96" s="139">
        <v>40</v>
      </c>
      <c r="M96" s="137" t="s">
        <v>275</v>
      </c>
      <c r="N96" s="140" t="s">
        <v>1558</v>
      </c>
      <c r="O96" s="106">
        <v>113945.93</v>
      </c>
      <c r="P96" s="106">
        <f t="shared" si="1"/>
        <v>130.6569544776975</v>
      </c>
      <c r="Q96" s="106">
        <v>5706.4816787065702</v>
      </c>
    </row>
    <row r="97" spans="1:17" ht="35.25" x14ac:dyDescent="0.5">
      <c r="A97" s="6">
        <v>1</v>
      </c>
      <c r="B97" s="92">
        <f>SUBTOTAL(103,$A$65:A97)</f>
        <v>30</v>
      </c>
      <c r="C97" s="141" t="s">
        <v>1474</v>
      </c>
      <c r="D97" s="137">
        <v>1928</v>
      </c>
      <c r="E97" s="137"/>
      <c r="F97" s="138" t="s">
        <v>273</v>
      </c>
      <c r="G97" s="137">
        <v>2</v>
      </c>
      <c r="H97" s="137">
        <v>2</v>
      </c>
      <c r="I97" s="106">
        <v>552</v>
      </c>
      <c r="J97" s="106">
        <v>401.5</v>
      </c>
      <c r="K97" s="106">
        <v>268.3</v>
      </c>
      <c r="L97" s="139">
        <v>32</v>
      </c>
      <c r="M97" s="137" t="s">
        <v>272</v>
      </c>
      <c r="N97" s="140" t="s">
        <v>274</v>
      </c>
      <c r="O97" s="106">
        <v>2836.7200000000003</v>
      </c>
      <c r="P97" s="106">
        <f t="shared" si="1"/>
        <v>5.1389855072463773</v>
      </c>
      <c r="Q97" s="106">
        <v>5169.3063768115944</v>
      </c>
    </row>
    <row r="98" spans="1:17" ht="35.25" x14ac:dyDescent="0.5">
      <c r="B98" s="136" t="s">
        <v>847</v>
      </c>
      <c r="C98" s="141"/>
      <c r="D98" s="137" t="s">
        <v>776</v>
      </c>
      <c r="E98" s="137" t="s">
        <v>776</v>
      </c>
      <c r="F98" s="138" t="s">
        <v>776</v>
      </c>
      <c r="G98" s="137" t="s">
        <v>776</v>
      </c>
      <c r="H98" s="137" t="s">
        <v>776</v>
      </c>
      <c r="I98" s="106">
        <f>SUM(I99:I102)</f>
        <v>3874.7000000000003</v>
      </c>
      <c r="J98" s="106">
        <f>SUM(J99:J102)</f>
        <v>2543</v>
      </c>
      <c r="K98" s="106">
        <f>SUM(K99:K102)</f>
        <v>1614</v>
      </c>
      <c r="L98" s="139">
        <f>SUM(L99:L102)</f>
        <v>141</v>
      </c>
      <c r="M98" s="137" t="s">
        <v>916</v>
      </c>
      <c r="N98" s="137" t="s">
        <v>916</v>
      </c>
      <c r="O98" s="106">
        <v>202477.66</v>
      </c>
      <c r="P98" s="106">
        <f t="shared" si="1"/>
        <v>52.256345007355407</v>
      </c>
      <c r="Q98" s="106">
        <f>MAX(Q99:Q102)</f>
        <v>4351.6888793103444</v>
      </c>
    </row>
    <row r="99" spans="1:17" ht="35.25" x14ac:dyDescent="0.5">
      <c r="A99" s="6">
        <v>1</v>
      </c>
      <c r="B99" s="92">
        <f>SUBTOTAL(103,$A$65:A99)</f>
        <v>31</v>
      </c>
      <c r="C99" s="141" t="s">
        <v>1475</v>
      </c>
      <c r="D99" s="137">
        <v>1965</v>
      </c>
      <c r="E99" s="137"/>
      <c r="F99" s="138" t="s">
        <v>273</v>
      </c>
      <c r="G99" s="137">
        <v>2</v>
      </c>
      <c r="H99" s="137">
        <v>2</v>
      </c>
      <c r="I99" s="106">
        <v>772.6</v>
      </c>
      <c r="J99" s="106">
        <v>450.9</v>
      </c>
      <c r="K99" s="106">
        <v>299.5</v>
      </c>
      <c r="L99" s="139">
        <v>27</v>
      </c>
      <c r="M99" s="137" t="s">
        <v>272</v>
      </c>
      <c r="N99" s="137" t="s">
        <v>274</v>
      </c>
      <c r="O99" s="106">
        <v>58593.41</v>
      </c>
      <c r="P99" s="106">
        <f t="shared" si="1"/>
        <v>75.83925705410303</v>
      </c>
      <c r="Q99" s="106">
        <v>3223.828009319182</v>
      </c>
    </row>
    <row r="100" spans="1:17" ht="35.25" x14ac:dyDescent="0.5">
      <c r="A100" s="6">
        <v>1</v>
      </c>
      <c r="B100" s="92">
        <f>SUBTOTAL(103,$A$65:A100)</f>
        <v>32</v>
      </c>
      <c r="C100" s="141" t="s">
        <v>1476</v>
      </c>
      <c r="D100" s="137">
        <v>1942</v>
      </c>
      <c r="E100" s="137"/>
      <c r="F100" s="138" t="s">
        <v>338</v>
      </c>
      <c r="G100" s="137">
        <v>2</v>
      </c>
      <c r="H100" s="137">
        <v>2</v>
      </c>
      <c r="I100" s="106">
        <v>842.2</v>
      </c>
      <c r="J100" s="106">
        <v>492.3</v>
      </c>
      <c r="K100" s="106">
        <v>352</v>
      </c>
      <c r="L100" s="139">
        <v>33</v>
      </c>
      <c r="M100" s="137" t="s">
        <v>272</v>
      </c>
      <c r="N100" s="137" t="s">
        <v>274</v>
      </c>
      <c r="O100" s="106">
        <v>15225</v>
      </c>
      <c r="P100" s="106">
        <f t="shared" si="1"/>
        <v>18.077653763951556</v>
      </c>
      <c r="Q100" s="106">
        <v>3646.5135122298743</v>
      </c>
    </row>
    <row r="101" spans="1:17" ht="35.25" x14ac:dyDescent="0.5">
      <c r="A101" s="6">
        <v>1</v>
      </c>
      <c r="B101" s="92">
        <f>SUBTOTAL(103,$A$65:A101)</f>
        <v>33</v>
      </c>
      <c r="C101" s="141" t="s">
        <v>1477</v>
      </c>
      <c r="D101" s="137">
        <v>1933</v>
      </c>
      <c r="E101" s="137"/>
      <c r="F101" s="138" t="s">
        <v>273</v>
      </c>
      <c r="G101" s="137">
        <v>3</v>
      </c>
      <c r="H101" s="137">
        <v>3</v>
      </c>
      <c r="I101" s="106">
        <v>1795.9</v>
      </c>
      <c r="J101" s="106">
        <v>1183</v>
      </c>
      <c r="K101" s="106">
        <v>857.7</v>
      </c>
      <c r="L101" s="139">
        <v>48</v>
      </c>
      <c r="M101" s="137" t="s">
        <v>272</v>
      </c>
      <c r="N101" s="137" t="s">
        <v>274</v>
      </c>
      <c r="O101" s="106">
        <v>77739.22</v>
      </c>
      <c r="P101" s="106">
        <f t="shared" si="1"/>
        <v>43.287053844868865</v>
      </c>
      <c r="Q101" s="106">
        <v>2457.3672253466225</v>
      </c>
    </row>
    <row r="102" spans="1:17" ht="35.25" x14ac:dyDescent="0.5">
      <c r="A102" s="6">
        <v>1</v>
      </c>
      <c r="B102" s="92">
        <f>SUBTOTAL(103,$A$65:A102)</f>
        <v>34</v>
      </c>
      <c r="C102" s="141" t="s">
        <v>1478</v>
      </c>
      <c r="D102" s="137">
        <v>1934</v>
      </c>
      <c r="E102" s="137"/>
      <c r="F102" s="138" t="s">
        <v>338</v>
      </c>
      <c r="G102" s="137">
        <v>2</v>
      </c>
      <c r="H102" s="137">
        <v>2</v>
      </c>
      <c r="I102" s="106">
        <v>464</v>
      </c>
      <c r="J102" s="106">
        <v>416.8</v>
      </c>
      <c r="K102" s="106">
        <v>104.80000000000001</v>
      </c>
      <c r="L102" s="139">
        <v>33</v>
      </c>
      <c r="M102" s="137" t="s">
        <v>272</v>
      </c>
      <c r="N102" s="137" t="s">
        <v>274</v>
      </c>
      <c r="O102" s="106">
        <v>50920.03</v>
      </c>
      <c r="P102" s="106">
        <f t="shared" si="1"/>
        <v>109.74144396551723</v>
      </c>
      <c r="Q102" s="106">
        <v>4351.6888793103444</v>
      </c>
    </row>
    <row r="103" spans="1:17" ht="35.25" x14ac:dyDescent="0.5">
      <c r="B103" s="136" t="s">
        <v>785</v>
      </c>
      <c r="C103" s="141"/>
      <c r="D103" s="137" t="s">
        <v>776</v>
      </c>
      <c r="E103" s="137" t="s">
        <v>776</v>
      </c>
      <c r="F103" s="138" t="s">
        <v>776</v>
      </c>
      <c r="G103" s="137" t="s">
        <v>776</v>
      </c>
      <c r="H103" s="137" t="s">
        <v>776</v>
      </c>
      <c r="I103" s="106">
        <f>SUM(I104:I129)</f>
        <v>57759.219999999994</v>
      </c>
      <c r="J103" s="106">
        <f>SUM(J104:J129)</f>
        <v>48422.30000000001</v>
      </c>
      <c r="K103" s="106">
        <f>SUM(K104:K129)</f>
        <v>42509.460000000006</v>
      </c>
      <c r="L103" s="139">
        <f>SUM(L104:L129)</f>
        <v>1952</v>
      </c>
      <c r="M103" s="137" t="s">
        <v>916</v>
      </c>
      <c r="N103" s="137" t="s">
        <v>916</v>
      </c>
      <c r="O103" s="106">
        <v>10774561.139999999</v>
      </c>
      <c r="P103" s="106">
        <f t="shared" si="1"/>
        <v>186.54270504345453</v>
      </c>
      <c r="Q103" s="106">
        <f>MAX(Q104:Q129)</f>
        <v>6357.5658002913096</v>
      </c>
    </row>
    <row r="104" spans="1:17" ht="35.25" x14ac:dyDescent="0.5">
      <c r="A104" s="6">
        <v>1</v>
      </c>
      <c r="B104" s="92">
        <f>SUBTOTAL(103,$A$65:A104)</f>
        <v>35</v>
      </c>
      <c r="C104" s="141" t="s">
        <v>1479</v>
      </c>
      <c r="D104" s="137">
        <v>1962</v>
      </c>
      <c r="E104" s="137"/>
      <c r="F104" s="138" t="s">
        <v>273</v>
      </c>
      <c r="G104" s="137">
        <v>5</v>
      </c>
      <c r="H104" s="137">
        <v>2</v>
      </c>
      <c r="I104" s="106">
        <v>1612.2</v>
      </c>
      <c r="J104" s="106">
        <v>1358.8</v>
      </c>
      <c r="K104" s="106">
        <v>1358.8</v>
      </c>
      <c r="L104" s="139">
        <v>53</v>
      </c>
      <c r="M104" s="137" t="s">
        <v>275</v>
      </c>
      <c r="N104" s="137" t="s">
        <v>1559</v>
      </c>
      <c r="O104" s="106">
        <v>15597.11</v>
      </c>
      <c r="P104" s="106">
        <f t="shared" si="1"/>
        <v>9.6744262498449327</v>
      </c>
      <c r="Q104" s="106">
        <v>673.78</v>
      </c>
    </row>
    <row r="105" spans="1:17" ht="35.25" x14ac:dyDescent="0.5">
      <c r="A105" s="6">
        <v>1</v>
      </c>
      <c r="B105" s="92">
        <f>SUBTOTAL(103,$A$65:A105)</f>
        <v>36</v>
      </c>
      <c r="C105" s="141" t="s">
        <v>1480</v>
      </c>
      <c r="D105" s="137">
        <v>1958</v>
      </c>
      <c r="E105" s="137"/>
      <c r="F105" s="138" t="s">
        <v>273</v>
      </c>
      <c r="G105" s="137">
        <v>4</v>
      </c>
      <c r="H105" s="137">
        <v>4</v>
      </c>
      <c r="I105" s="106">
        <v>5485.5</v>
      </c>
      <c r="J105" s="106">
        <v>4412.8</v>
      </c>
      <c r="K105" s="106">
        <v>3382.7</v>
      </c>
      <c r="L105" s="139">
        <v>96</v>
      </c>
      <c r="M105" s="137" t="s">
        <v>275</v>
      </c>
      <c r="N105" s="140" t="s">
        <v>1386</v>
      </c>
      <c r="O105" s="106">
        <v>2167706.4899999998</v>
      </c>
      <c r="P105" s="106">
        <f t="shared" si="1"/>
        <v>395.17026524473607</v>
      </c>
      <c r="Q105" s="106">
        <v>1763.3280466684896</v>
      </c>
    </row>
    <row r="106" spans="1:17" ht="35.25" x14ac:dyDescent="0.5">
      <c r="A106" s="6">
        <v>1</v>
      </c>
      <c r="B106" s="92">
        <f>SUBTOTAL(103,$A$65:A106)</f>
        <v>37</v>
      </c>
      <c r="C106" s="141" t="s">
        <v>1481</v>
      </c>
      <c r="D106" s="137">
        <v>1929</v>
      </c>
      <c r="E106" s="137"/>
      <c r="F106" s="138" t="s">
        <v>273</v>
      </c>
      <c r="G106" s="137">
        <v>4</v>
      </c>
      <c r="H106" s="137">
        <v>5</v>
      </c>
      <c r="I106" s="106">
        <v>2469.13</v>
      </c>
      <c r="J106" s="106">
        <v>2349.9299999999998</v>
      </c>
      <c r="K106" s="106">
        <v>2349.9299999999998</v>
      </c>
      <c r="L106" s="139">
        <v>95</v>
      </c>
      <c r="M106" s="137" t="s">
        <v>275</v>
      </c>
      <c r="N106" s="140" t="s">
        <v>1560</v>
      </c>
      <c r="O106" s="106">
        <v>510545</v>
      </c>
      <c r="P106" s="106">
        <f t="shared" si="1"/>
        <v>206.77121091234562</v>
      </c>
      <c r="Q106" s="106">
        <v>2019.6502593221094</v>
      </c>
    </row>
    <row r="107" spans="1:17" ht="35.25" x14ac:dyDescent="0.5">
      <c r="A107" s="6">
        <v>1</v>
      </c>
      <c r="B107" s="92">
        <f>SUBTOTAL(103,$A$65:A107)</f>
        <v>38</v>
      </c>
      <c r="C107" s="141" t="s">
        <v>1482</v>
      </c>
      <c r="D107" s="137">
        <v>1961</v>
      </c>
      <c r="E107" s="137"/>
      <c r="F107" s="138" t="s">
        <v>273</v>
      </c>
      <c r="G107" s="137">
        <v>4</v>
      </c>
      <c r="H107" s="137">
        <v>2</v>
      </c>
      <c r="I107" s="106">
        <v>1371.7</v>
      </c>
      <c r="J107" s="106">
        <v>1268.5999999999999</v>
      </c>
      <c r="K107" s="106">
        <v>1268.5999999999999</v>
      </c>
      <c r="L107" s="139">
        <v>55</v>
      </c>
      <c r="M107" s="137" t="s">
        <v>275</v>
      </c>
      <c r="N107" s="140" t="s">
        <v>1561</v>
      </c>
      <c r="O107" s="106">
        <v>468233.13</v>
      </c>
      <c r="P107" s="106">
        <f t="shared" si="1"/>
        <v>341.35243128964061</v>
      </c>
      <c r="Q107" s="106">
        <v>2104.9148472698112</v>
      </c>
    </row>
    <row r="108" spans="1:17" ht="35.25" x14ac:dyDescent="0.5">
      <c r="A108" s="6">
        <v>1</v>
      </c>
      <c r="B108" s="92">
        <f>SUBTOTAL(103,$A$65:A108)</f>
        <v>39</v>
      </c>
      <c r="C108" s="141" t="s">
        <v>1483</v>
      </c>
      <c r="D108" s="137">
        <v>1959</v>
      </c>
      <c r="E108" s="137"/>
      <c r="F108" s="138" t="s">
        <v>273</v>
      </c>
      <c r="G108" s="137">
        <v>4</v>
      </c>
      <c r="H108" s="137">
        <v>3</v>
      </c>
      <c r="I108" s="106">
        <v>2155.1999999999998</v>
      </c>
      <c r="J108" s="106">
        <v>1435.2</v>
      </c>
      <c r="K108" s="106">
        <v>1184.7</v>
      </c>
      <c r="L108" s="139">
        <v>62</v>
      </c>
      <c r="M108" s="137" t="s">
        <v>275</v>
      </c>
      <c r="N108" s="140" t="s">
        <v>1562</v>
      </c>
      <c r="O108" s="106">
        <v>450205.28</v>
      </c>
      <c r="P108" s="106">
        <f t="shared" si="1"/>
        <v>208.89257609502602</v>
      </c>
      <c r="Q108" s="106">
        <v>3096.7835189309581</v>
      </c>
    </row>
    <row r="109" spans="1:17" ht="35.25" x14ac:dyDescent="0.5">
      <c r="A109" s="6">
        <v>1</v>
      </c>
      <c r="B109" s="92">
        <f>SUBTOTAL(103,$A$65:A109)</f>
        <v>40</v>
      </c>
      <c r="C109" s="141" t="s">
        <v>1484</v>
      </c>
      <c r="D109" s="137">
        <v>1951</v>
      </c>
      <c r="E109" s="137"/>
      <c r="F109" s="138" t="s">
        <v>344</v>
      </c>
      <c r="G109" s="137">
        <v>2</v>
      </c>
      <c r="H109" s="137">
        <v>2</v>
      </c>
      <c r="I109" s="106">
        <v>747</v>
      </c>
      <c r="J109" s="106">
        <v>596.29999999999995</v>
      </c>
      <c r="K109" s="106">
        <v>584.29999999999995</v>
      </c>
      <c r="L109" s="139">
        <v>22</v>
      </c>
      <c r="M109" s="137" t="s">
        <v>272</v>
      </c>
      <c r="N109" s="140" t="s">
        <v>274</v>
      </c>
      <c r="O109" s="106">
        <v>66602.679999999993</v>
      </c>
      <c r="P109" s="106">
        <f t="shared" si="1"/>
        <v>89.160214190093697</v>
      </c>
      <c r="Q109" s="106">
        <v>6272.0635876840697</v>
      </c>
    </row>
    <row r="110" spans="1:17" ht="35.25" x14ac:dyDescent="0.5">
      <c r="A110" s="6">
        <v>1</v>
      </c>
      <c r="B110" s="92">
        <f>SUBTOTAL(103,$A$65:A110)</f>
        <v>41</v>
      </c>
      <c r="C110" s="141" t="s">
        <v>1485</v>
      </c>
      <c r="D110" s="137">
        <v>1959</v>
      </c>
      <c r="E110" s="137"/>
      <c r="F110" s="138" t="s">
        <v>273</v>
      </c>
      <c r="G110" s="137">
        <v>4</v>
      </c>
      <c r="H110" s="137">
        <v>3</v>
      </c>
      <c r="I110" s="106">
        <v>3647.3</v>
      </c>
      <c r="J110" s="106">
        <v>2675.1</v>
      </c>
      <c r="K110" s="106">
        <v>2194.3000000000002</v>
      </c>
      <c r="L110" s="139">
        <v>61</v>
      </c>
      <c r="M110" s="137" t="s">
        <v>275</v>
      </c>
      <c r="N110" s="140" t="s">
        <v>1563</v>
      </c>
      <c r="O110" s="106">
        <v>1522500</v>
      </c>
      <c r="P110" s="106">
        <f t="shared" si="1"/>
        <v>417.4320730403312</v>
      </c>
      <c r="Q110" s="106">
        <v>1839.843336166479</v>
      </c>
    </row>
    <row r="111" spans="1:17" ht="35.25" x14ac:dyDescent="0.5">
      <c r="A111" s="6">
        <v>1</v>
      </c>
      <c r="B111" s="92">
        <f>SUBTOTAL(103,$A$65:A111)</f>
        <v>42</v>
      </c>
      <c r="C111" s="141" t="s">
        <v>1486</v>
      </c>
      <c r="D111" s="137">
        <v>1973</v>
      </c>
      <c r="E111" s="137"/>
      <c r="F111" s="138" t="s">
        <v>273</v>
      </c>
      <c r="G111" s="137">
        <v>5</v>
      </c>
      <c r="H111" s="137">
        <v>6</v>
      </c>
      <c r="I111" s="106">
        <v>4358.8999999999996</v>
      </c>
      <c r="J111" s="106">
        <v>3381.5</v>
      </c>
      <c r="K111" s="106">
        <v>2777</v>
      </c>
      <c r="L111" s="139">
        <v>177</v>
      </c>
      <c r="M111" s="137" t="s">
        <v>275</v>
      </c>
      <c r="N111" s="140" t="s">
        <v>1423</v>
      </c>
      <c r="O111" s="106">
        <v>1389919.69</v>
      </c>
      <c r="P111" s="106">
        <f t="shared" si="1"/>
        <v>318.86936841863775</v>
      </c>
      <c r="Q111" s="106">
        <v>2199.9377485145337</v>
      </c>
    </row>
    <row r="112" spans="1:17" ht="35.25" x14ac:dyDescent="0.5">
      <c r="A112" s="6">
        <v>1</v>
      </c>
      <c r="B112" s="92">
        <f>SUBTOTAL(103,$A$65:A112)</f>
        <v>43</v>
      </c>
      <c r="C112" s="141" t="s">
        <v>1487</v>
      </c>
      <c r="D112" s="137">
        <v>1949</v>
      </c>
      <c r="E112" s="137"/>
      <c r="F112" s="138" t="s">
        <v>344</v>
      </c>
      <c r="G112" s="137">
        <v>2</v>
      </c>
      <c r="H112" s="137">
        <v>2</v>
      </c>
      <c r="I112" s="106">
        <v>728.8</v>
      </c>
      <c r="J112" s="106">
        <v>722.1</v>
      </c>
      <c r="K112" s="106">
        <v>667.2</v>
      </c>
      <c r="L112" s="139">
        <v>25</v>
      </c>
      <c r="M112" s="137" t="s">
        <v>272</v>
      </c>
      <c r="N112" s="140" t="s">
        <v>274</v>
      </c>
      <c r="O112" s="106">
        <v>67681.820000000007</v>
      </c>
      <c r="P112" s="106">
        <f t="shared" si="1"/>
        <v>92.867480790340295</v>
      </c>
      <c r="Q112" s="106">
        <v>5897.8074368825464</v>
      </c>
    </row>
    <row r="113" spans="1:17" ht="35.25" x14ac:dyDescent="0.5">
      <c r="A113" s="6">
        <v>1</v>
      </c>
      <c r="B113" s="92">
        <f>SUBTOTAL(103,$A$65:A113)</f>
        <v>44</v>
      </c>
      <c r="C113" s="141" t="s">
        <v>1488</v>
      </c>
      <c r="D113" s="137">
        <v>1956</v>
      </c>
      <c r="E113" s="137"/>
      <c r="F113" s="138" t="s">
        <v>273</v>
      </c>
      <c r="G113" s="137">
        <v>4</v>
      </c>
      <c r="H113" s="137">
        <v>3</v>
      </c>
      <c r="I113" s="106">
        <v>4032.8</v>
      </c>
      <c r="J113" s="106">
        <v>3036.64</v>
      </c>
      <c r="K113" s="106">
        <v>2440.14</v>
      </c>
      <c r="L113" s="139">
        <v>93</v>
      </c>
      <c r="M113" s="137" t="s">
        <v>275</v>
      </c>
      <c r="N113" s="140" t="s">
        <v>1563</v>
      </c>
      <c r="O113" s="106">
        <v>253750</v>
      </c>
      <c r="P113" s="106">
        <f t="shared" si="1"/>
        <v>62.921543344574488</v>
      </c>
      <c r="Q113" s="106">
        <v>673.78</v>
      </c>
    </row>
    <row r="114" spans="1:17" ht="35.25" x14ac:dyDescent="0.5">
      <c r="A114" s="6">
        <v>1</v>
      </c>
      <c r="B114" s="92">
        <f>SUBTOTAL(103,$A$65:A114)</f>
        <v>45</v>
      </c>
      <c r="C114" s="141" t="s">
        <v>1489</v>
      </c>
      <c r="D114" s="137">
        <v>1953</v>
      </c>
      <c r="E114" s="137"/>
      <c r="F114" s="138" t="s">
        <v>273</v>
      </c>
      <c r="G114" s="137">
        <v>2</v>
      </c>
      <c r="H114" s="137">
        <v>1</v>
      </c>
      <c r="I114" s="106">
        <v>617.9</v>
      </c>
      <c r="J114" s="106">
        <v>408.9</v>
      </c>
      <c r="K114" s="106">
        <f>J114</f>
        <v>408.9</v>
      </c>
      <c r="L114" s="139">
        <v>21</v>
      </c>
      <c r="M114" s="137" t="s">
        <v>272</v>
      </c>
      <c r="N114" s="140" t="s">
        <v>274</v>
      </c>
      <c r="O114" s="106">
        <v>48136.38</v>
      </c>
      <c r="P114" s="106">
        <f t="shared" si="1"/>
        <v>77.903188218158277</v>
      </c>
      <c r="Q114" s="106">
        <v>6357.5658002913096</v>
      </c>
    </row>
    <row r="115" spans="1:17" ht="35.25" x14ac:dyDescent="0.5">
      <c r="A115" s="6">
        <v>1</v>
      </c>
      <c r="B115" s="92">
        <f>SUBTOTAL(103,$A$65:A115)</f>
        <v>46</v>
      </c>
      <c r="C115" s="141" t="s">
        <v>1490</v>
      </c>
      <c r="D115" s="137">
        <v>1937</v>
      </c>
      <c r="E115" s="137"/>
      <c r="F115" s="138" t="s">
        <v>273</v>
      </c>
      <c r="G115" s="137">
        <v>4</v>
      </c>
      <c r="H115" s="137">
        <v>6</v>
      </c>
      <c r="I115" s="106">
        <v>2381.6999999999998</v>
      </c>
      <c r="J115" s="106">
        <v>2256.8000000000002</v>
      </c>
      <c r="K115" s="106">
        <v>2256.8000000000002</v>
      </c>
      <c r="L115" s="139">
        <v>155</v>
      </c>
      <c r="M115" s="137" t="s">
        <v>275</v>
      </c>
      <c r="N115" s="140" t="s">
        <v>1657</v>
      </c>
      <c r="O115" s="106">
        <v>1182149.27</v>
      </c>
      <c r="P115" s="106">
        <f t="shared" si="1"/>
        <v>496.34684049208551</v>
      </c>
      <c r="Q115" s="106">
        <v>3210.9446613763284</v>
      </c>
    </row>
    <row r="116" spans="1:17" ht="35.25" x14ac:dyDescent="0.5">
      <c r="A116" s="6">
        <v>1</v>
      </c>
      <c r="B116" s="92">
        <f>SUBTOTAL(103,$A$65:A116)</f>
        <v>47</v>
      </c>
      <c r="C116" s="141" t="s">
        <v>1491</v>
      </c>
      <c r="D116" s="137">
        <v>1955</v>
      </c>
      <c r="E116" s="137"/>
      <c r="F116" s="138" t="s">
        <v>273</v>
      </c>
      <c r="G116" s="137">
        <v>3</v>
      </c>
      <c r="H116" s="137">
        <v>3</v>
      </c>
      <c r="I116" s="106">
        <v>1854.6</v>
      </c>
      <c r="J116" s="106">
        <v>1281.7</v>
      </c>
      <c r="K116" s="106">
        <v>834.3</v>
      </c>
      <c r="L116" s="139">
        <v>34</v>
      </c>
      <c r="M116" s="137" t="s">
        <v>275</v>
      </c>
      <c r="N116" s="140" t="s">
        <v>1658</v>
      </c>
      <c r="O116" s="106">
        <v>212532.16</v>
      </c>
      <c r="P116" s="106">
        <f t="shared" si="1"/>
        <v>114.59730400086272</v>
      </c>
      <c r="Q116" s="106">
        <v>3282.98</v>
      </c>
    </row>
    <row r="117" spans="1:17" ht="35.25" x14ac:dyDescent="0.5">
      <c r="A117" s="6">
        <v>1</v>
      </c>
      <c r="B117" s="92">
        <f>SUBTOTAL(103,$A$65:A117)</f>
        <v>48</v>
      </c>
      <c r="C117" s="141" t="s">
        <v>1492</v>
      </c>
      <c r="D117" s="137">
        <v>1929</v>
      </c>
      <c r="E117" s="137"/>
      <c r="F117" s="138" t="s">
        <v>273</v>
      </c>
      <c r="G117" s="137">
        <v>3</v>
      </c>
      <c r="H117" s="137">
        <v>5</v>
      </c>
      <c r="I117" s="106">
        <v>2240.83</v>
      </c>
      <c r="J117" s="106">
        <v>1864.33</v>
      </c>
      <c r="K117" s="106">
        <v>1864.33</v>
      </c>
      <c r="L117" s="139">
        <v>90</v>
      </c>
      <c r="M117" s="137" t="s">
        <v>275</v>
      </c>
      <c r="N117" s="140" t="s">
        <v>1386</v>
      </c>
      <c r="O117" s="106">
        <v>69345.69</v>
      </c>
      <c r="P117" s="106">
        <f t="shared" si="1"/>
        <v>30.946430563675069</v>
      </c>
      <c r="Q117" s="106">
        <v>888.07393532753497</v>
      </c>
    </row>
    <row r="118" spans="1:17" ht="35.25" x14ac:dyDescent="0.5">
      <c r="A118" s="6">
        <v>1</v>
      </c>
      <c r="B118" s="92">
        <f>SUBTOTAL(103,$A$65:A118)</f>
        <v>49</v>
      </c>
      <c r="C118" s="141" t="s">
        <v>1493</v>
      </c>
      <c r="D118" s="137">
        <v>1981</v>
      </c>
      <c r="E118" s="137"/>
      <c r="F118" s="138" t="s">
        <v>273</v>
      </c>
      <c r="G118" s="137">
        <v>5</v>
      </c>
      <c r="H118" s="137">
        <v>1</v>
      </c>
      <c r="I118" s="106">
        <v>2902.7</v>
      </c>
      <c r="J118" s="106">
        <v>2700</v>
      </c>
      <c r="K118" s="106">
        <v>1260</v>
      </c>
      <c r="L118" s="139">
        <v>179</v>
      </c>
      <c r="M118" s="137" t="s">
        <v>275</v>
      </c>
      <c r="N118" s="140" t="s">
        <v>1564</v>
      </c>
      <c r="O118" s="106">
        <v>8410.2900000000009</v>
      </c>
      <c r="P118" s="106">
        <f t="shared" si="1"/>
        <v>2.8974024184380065</v>
      </c>
      <c r="Q118" s="106">
        <v>1214.2154476866367</v>
      </c>
    </row>
    <row r="119" spans="1:17" ht="35.25" x14ac:dyDescent="0.5">
      <c r="A119" s="6">
        <v>1</v>
      </c>
      <c r="B119" s="92">
        <f>SUBTOTAL(103,$A$65:A119)</f>
        <v>50</v>
      </c>
      <c r="C119" s="141" t="s">
        <v>1494</v>
      </c>
      <c r="D119" s="137">
        <v>1977</v>
      </c>
      <c r="E119" s="137"/>
      <c r="F119" s="138" t="s">
        <v>319</v>
      </c>
      <c r="G119" s="137">
        <v>5</v>
      </c>
      <c r="H119" s="137">
        <v>6</v>
      </c>
      <c r="I119" s="106">
        <v>4839.2</v>
      </c>
      <c r="J119" s="106">
        <v>4665.24</v>
      </c>
      <c r="K119" s="106">
        <v>4372.8999999999996</v>
      </c>
      <c r="L119" s="139">
        <v>183</v>
      </c>
      <c r="M119" s="137" t="s">
        <v>275</v>
      </c>
      <c r="N119" s="140" t="s">
        <v>1565</v>
      </c>
      <c r="O119" s="106">
        <v>7622.65</v>
      </c>
      <c r="P119" s="106">
        <f t="shared" si="1"/>
        <v>1.5751880476111755</v>
      </c>
      <c r="Q119" s="106">
        <v>94.91</v>
      </c>
    </row>
    <row r="120" spans="1:17" ht="35.25" x14ac:dyDescent="0.5">
      <c r="A120" s="6">
        <v>1</v>
      </c>
      <c r="B120" s="92">
        <f>SUBTOTAL(103,$A$65:A120)</f>
        <v>51</v>
      </c>
      <c r="C120" s="141" t="s">
        <v>1495</v>
      </c>
      <c r="D120" s="137">
        <v>1959</v>
      </c>
      <c r="E120" s="137"/>
      <c r="F120" s="138" t="s">
        <v>273</v>
      </c>
      <c r="G120" s="137">
        <v>2</v>
      </c>
      <c r="H120" s="137">
        <v>1</v>
      </c>
      <c r="I120" s="106">
        <v>367.5</v>
      </c>
      <c r="J120" s="106">
        <v>251</v>
      </c>
      <c r="K120" s="106">
        <v>251</v>
      </c>
      <c r="L120" s="139">
        <v>14</v>
      </c>
      <c r="M120" s="137" t="s">
        <v>275</v>
      </c>
      <c r="N120" s="140" t="s">
        <v>1014</v>
      </c>
      <c r="O120" s="106">
        <v>52780</v>
      </c>
      <c r="P120" s="106">
        <f t="shared" si="1"/>
        <v>143.61904761904762</v>
      </c>
      <c r="Q120" s="106">
        <v>4678.4457795918361</v>
      </c>
    </row>
    <row r="121" spans="1:17" ht="35.25" x14ac:dyDescent="0.5">
      <c r="A121" s="6">
        <v>1</v>
      </c>
      <c r="B121" s="92">
        <f>SUBTOTAL(103,$A$65:A121)</f>
        <v>52</v>
      </c>
      <c r="C121" s="141" t="s">
        <v>1496</v>
      </c>
      <c r="D121" s="137">
        <v>1934</v>
      </c>
      <c r="E121" s="137"/>
      <c r="F121" s="138" t="s">
        <v>273</v>
      </c>
      <c r="G121" s="137">
        <v>3</v>
      </c>
      <c r="H121" s="137">
        <v>7</v>
      </c>
      <c r="I121" s="106">
        <v>2922</v>
      </c>
      <c r="J121" s="106">
        <v>2656.4</v>
      </c>
      <c r="K121" s="106">
        <v>2656.4</v>
      </c>
      <c r="L121" s="139">
        <v>95</v>
      </c>
      <c r="M121" s="137" t="s">
        <v>275</v>
      </c>
      <c r="N121" s="140" t="s">
        <v>1014</v>
      </c>
      <c r="O121" s="106">
        <v>209078.37</v>
      </c>
      <c r="P121" s="106">
        <f t="shared" si="1"/>
        <v>71.553172484599585</v>
      </c>
      <c r="Q121" s="106">
        <v>3184.1077823408623</v>
      </c>
    </row>
    <row r="122" spans="1:17" ht="35.25" x14ac:dyDescent="0.5">
      <c r="A122" s="6">
        <v>1</v>
      </c>
      <c r="B122" s="92">
        <f>SUBTOTAL(103,$A$65:A122)</f>
        <v>53</v>
      </c>
      <c r="C122" s="141" t="s">
        <v>1497</v>
      </c>
      <c r="D122" s="137">
        <v>1934</v>
      </c>
      <c r="E122" s="137"/>
      <c r="F122" s="138" t="s">
        <v>273</v>
      </c>
      <c r="G122" s="137">
        <v>3</v>
      </c>
      <c r="H122" s="137">
        <v>5</v>
      </c>
      <c r="I122" s="106">
        <v>1040.8</v>
      </c>
      <c r="J122" s="106">
        <v>878</v>
      </c>
      <c r="K122" s="106">
        <v>878</v>
      </c>
      <c r="L122" s="139">
        <v>58</v>
      </c>
      <c r="M122" s="137" t="s">
        <v>272</v>
      </c>
      <c r="N122" s="140" t="s">
        <v>274</v>
      </c>
      <c r="O122" s="106">
        <v>793266.22</v>
      </c>
      <c r="P122" s="106">
        <f t="shared" si="1"/>
        <v>762.16969638739431</v>
      </c>
      <c r="Q122" s="106">
        <v>4344.7387394312073</v>
      </c>
    </row>
    <row r="123" spans="1:17" ht="35.25" x14ac:dyDescent="0.5">
      <c r="A123" s="6">
        <v>1</v>
      </c>
      <c r="B123" s="92">
        <f>SUBTOTAL(103,$A$65:A123)</f>
        <v>54</v>
      </c>
      <c r="C123" s="141" t="s">
        <v>1498</v>
      </c>
      <c r="D123" s="137">
        <v>1928</v>
      </c>
      <c r="E123" s="137"/>
      <c r="F123" s="138" t="s">
        <v>338</v>
      </c>
      <c r="G123" s="137">
        <v>2</v>
      </c>
      <c r="H123" s="137">
        <v>1</v>
      </c>
      <c r="I123" s="106">
        <v>286.10000000000002</v>
      </c>
      <c r="J123" s="106">
        <v>205.8</v>
      </c>
      <c r="K123" s="106">
        <v>205.8</v>
      </c>
      <c r="L123" s="139">
        <v>16</v>
      </c>
      <c r="M123" s="137" t="s">
        <v>272</v>
      </c>
      <c r="N123" s="140" t="s">
        <v>274</v>
      </c>
      <c r="O123" s="106">
        <v>45260.939999999995</v>
      </c>
      <c r="P123" s="106">
        <f t="shared" si="1"/>
        <v>158.19972037749037</v>
      </c>
      <c r="Q123" s="106">
        <v>4371.6450891296745</v>
      </c>
    </row>
    <row r="124" spans="1:17" ht="35.25" x14ac:dyDescent="0.5">
      <c r="A124" s="6">
        <v>1</v>
      </c>
      <c r="B124" s="92">
        <f>SUBTOTAL(103,$A$65:A124)</f>
        <v>55</v>
      </c>
      <c r="C124" s="141" t="s">
        <v>1499</v>
      </c>
      <c r="D124" s="137">
        <v>1958</v>
      </c>
      <c r="E124" s="137"/>
      <c r="F124" s="138" t="s">
        <v>273</v>
      </c>
      <c r="G124" s="137">
        <v>2</v>
      </c>
      <c r="H124" s="137">
        <v>1</v>
      </c>
      <c r="I124" s="106">
        <v>417.2</v>
      </c>
      <c r="J124" s="106">
        <v>385.8</v>
      </c>
      <c r="K124" s="106">
        <v>385.8</v>
      </c>
      <c r="L124" s="139">
        <v>20</v>
      </c>
      <c r="M124" s="137" t="s">
        <v>272</v>
      </c>
      <c r="N124" s="140" t="s">
        <v>274</v>
      </c>
      <c r="O124" s="106">
        <v>41021.47</v>
      </c>
      <c r="P124" s="106">
        <f t="shared" si="1"/>
        <v>98.325671140939605</v>
      </c>
      <c r="Q124" s="106">
        <v>4197.3344765100674</v>
      </c>
    </row>
    <row r="125" spans="1:17" ht="35.25" x14ac:dyDescent="0.5">
      <c r="A125" s="6">
        <v>1</v>
      </c>
      <c r="B125" s="92">
        <f>SUBTOTAL(103,$A$65:A125)</f>
        <v>56</v>
      </c>
      <c r="C125" s="141" t="s">
        <v>1500</v>
      </c>
      <c r="D125" s="137">
        <v>1958</v>
      </c>
      <c r="E125" s="137"/>
      <c r="F125" s="138" t="s">
        <v>273</v>
      </c>
      <c r="G125" s="137">
        <v>4</v>
      </c>
      <c r="H125" s="137">
        <v>5</v>
      </c>
      <c r="I125" s="106">
        <v>3533.4</v>
      </c>
      <c r="J125" s="106">
        <v>3254</v>
      </c>
      <c r="K125" s="106">
        <v>3254</v>
      </c>
      <c r="L125" s="139">
        <v>98</v>
      </c>
      <c r="M125" s="137" t="s">
        <v>275</v>
      </c>
      <c r="N125" s="140" t="s">
        <v>1423</v>
      </c>
      <c r="O125" s="106">
        <v>504846.64999999997</v>
      </c>
      <c r="P125" s="106">
        <f t="shared" si="1"/>
        <v>142.87843153902756</v>
      </c>
      <c r="Q125" s="106">
        <v>6118.4410154525385</v>
      </c>
    </row>
    <row r="126" spans="1:17" ht="35.25" x14ac:dyDescent="0.5">
      <c r="A126" s="6">
        <v>1</v>
      </c>
      <c r="B126" s="92">
        <f>SUBTOTAL(103,$A$65:A126)</f>
        <v>57</v>
      </c>
      <c r="C126" s="141" t="s">
        <v>1501</v>
      </c>
      <c r="D126" s="137">
        <v>1931</v>
      </c>
      <c r="E126" s="137"/>
      <c r="F126" s="138" t="s">
        <v>273</v>
      </c>
      <c r="G126" s="137">
        <v>4</v>
      </c>
      <c r="H126" s="137">
        <v>4</v>
      </c>
      <c r="I126" s="106">
        <v>2034.4</v>
      </c>
      <c r="J126" s="106">
        <v>1806.5</v>
      </c>
      <c r="K126" s="106">
        <v>1665.8</v>
      </c>
      <c r="L126" s="139">
        <v>83</v>
      </c>
      <c r="M126" s="137" t="s">
        <v>275</v>
      </c>
      <c r="N126" s="140" t="s">
        <v>1566</v>
      </c>
      <c r="O126" s="106">
        <v>545501.27</v>
      </c>
      <c r="P126" s="106">
        <f t="shared" si="1"/>
        <v>268.13865021627998</v>
      </c>
      <c r="Q126" s="106">
        <v>2753.19</v>
      </c>
    </row>
    <row r="127" spans="1:17" ht="35.25" x14ac:dyDescent="0.5">
      <c r="A127" s="6">
        <v>1</v>
      </c>
      <c r="B127" s="92">
        <f>SUBTOTAL(103,$A$65:A127)</f>
        <v>58</v>
      </c>
      <c r="C127" s="141" t="s">
        <v>1544</v>
      </c>
      <c r="D127" s="137">
        <v>1958</v>
      </c>
      <c r="E127" s="137"/>
      <c r="F127" s="138" t="s">
        <v>273</v>
      </c>
      <c r="G127" s="137">
        <v>4</v>
      </c>
      <c r="H127" s="137">
        <v>4</v>
      </c>
      <c r="I127" s="106">
        <v>3399.9</v>
      </c>
      <c r="J127" s="106">
        <v>2625.8</v>
      </c>
      <c r="K127" s="106">
        <v>2062.6999999999998</v>
      </c>
      <c r="L127" s="139">
        <v>68</v>
      </c>
      <c r="M127" s="137" t="s">
        <v>275</v>
      </c>
      <c r="N127" s="140" t="s">
        <v>1618</v>
      </c>
      <c r="O127" s="106">
        <v>52491.74</v>
      </c>
      <c r="P127" s="106">
        <f t="shared" si="1"/>
        <v>15.439201152975086</v>
      </c>
      <c r="Q127" s="106">
        <v>3543.4097591105619</v>
      </c>
    </row>
    <row r="128" spans="1:17" ht="35.25" x14ac:dyDescent="0.5">
      <c r="A128" s="6">
        <v>1</v>
      </c>
      <c r="B128" s="92">
        <f>SUBTOTAL(103,$A$65:A128)</f>
        <v>59</v>
      </c>
      <c r="C128" s="141" t="s">
        <v>1545</v>
      </c>
      <c r="D128" s="137">
        <v>1942</v>
      </c>
      <c r="E128" s="137"/>
      <c r="F128" s="138" t="s">
        <v>338</v>
      </c>
      <c r="G128" s="137">
        <v>2</v>
      </c>
      <c r="H128" s="137">
        <v>2</v>
      </c>
      <c r="I128" s="106">
        <v>489</v>
      </c>
      <c r="J128" s="106">
        <v>431</v>
      </c>
      <c r="K128" s="106">
        <v>431</v>
      </c>
      <c r="L128" s="139">
        <v>39</v>
      </c>
      <c r="M128" s="137" t="s">
        <v>272</v>
      </c>
      <c r="N128" s="140" t="s">
        <v>274</v>
      </c>
      <c r="O128" s="106">
        <v>81764.34</v>
      </c>
      <c r="P128" s="106">
        <f t="shared" si="1"/>
        <v>167.20723926380367</v>
      </c>
      <c r="Q128" s="106">
        <v>3758.84</v>
      </c>
    </row>
    <row r="129" spans="1:17" ht="35.25" x14ac:dyDescent="0.5">
      <c r="A129" s="6">
        <v>1</v>
      </c>
      <c r="B129" s="92">
        <f>SUBTOTAL(103,$A$65:A129)</f>
        <v>60</v>
      </c>
      <c r="C129" s="141" t="s">
        <v>1546</v>
      </c>
      <c r="D129" s="137">
        <v>1931</v>
      </c>
      <c r="E129" s="137"/>
      <c r="F129" s="138" t="s">
        <v>273</v>
      </c>
      <c r="G129" s="137">
        <v>3</v>
      </c>
      <c r="H129" s="137">
        <v>5</v>
      </c>
      <c r="I129" s="106">
        <v>1823.46</v>
      </c>
      <c r="J129" s="106">
        <v>1514.06</v>
      </c>
      <c r="K129" s="106">
        <v>1514.06</v>
      </c>
      <c r="L129" s="139">
        <v>60</v>
      </c>
      <c r="M129" s="137" t="s">
        <v>275</v>
      </c>
      <c r="N129" s="140" t="s">
        <v>1423</v>
      </c>
      <c r="O129" s="106">
        <v>7612.5</v>
      </c>
      <c r="P129" s="106">
        <f t="shared" ref="P129:P192" si="2">O129/I129</f>
        <v>4.174755684248626</v>
      </c>
      <c r="Q129" s="106">
        <v>3016.9943952705294</v>
      </c>
    </row>
    <row r="130" spans="1:17" ht="35.25" x14ac:dyDescent="0.5">
      <c r="B130" s="136" t="s">
        <v>1446</v>
      </c>
      <c r="C130" s="141"/>
      <c r="D130" s="137" t="s">
        <v>776</v>
      </c>
      <c r="E130" s="137" t="s">
        <v>776</v>
      </c>
      <c r="F130" s="138" t="s">
        <v>776</v>
      </c>
      <c r="G130" s="137" t="s">
        <v>776</v>
      </c>
      <c r="H130" s="137" t="s">
        <v>776</v>
      </c>
      <c r="I130" s="106">
        <f>SUM(I131:I143)</f>
        <v>42587.08</v>
      </c>
      <c r="J130" s="106">
        <f>SUM(J131:J143)</f>
        <v>39880.97</v>
      </c>
      <c r="K130" s="106">
        <f>SUM(K131:K143)</f>
        <v>36523.299999999996</v>
      </c>
      <c r="L130" s="139">
        <f>SUM(L131:L143)</f>
        <v>2005</v>
      </c>
      <c r="M130" s="137" t="s">
        <v>916</v>
      </c>
      <c r="N130" s="137" t="s">
        <v>916</v>
      </c>
      <c r="O130" s="106">
        <v>6084746.6499999994</v>
      </c>
      <c r="P130" s="106">
        <f t="shared" si="2"/>
        <v>142.87776128346906</v>
      </c>
      <c r="Q130" s="106">
        <f>MAX(Q131:Q143)</f>
        <v>5321.8705368523024</v>
      </c>
    </row>
    <row r="131" spans="1:17" ht="35.25" x14ac:dyDescent="0.5">
      <c r="A131" s="6">
        <v>1</v>
      </c>
      <c r="B131" s="92">
        <f>SUBTOTAL(103,$A$65:A131)</f>
        <v>61</v>
      </c>
      <c r="C131" s="141" t="s">
        <v>1502</v>
      </c>
      <c r="D131" s="137">
        <v>1968</v>
      </c>
      <c r="E131" s="137"/>
      <c r="F131" s="138" t="s">
        <v>273</v>
      </c>
      <c r="G131" s="137">
        <v>6</v>
      </c>
      <c r="H131" s="137">
        <v>8</v>
      </c>
      <c r="I131" s="106">
        <v>6064</v>
      </c>
      <c r="J131" s="106">
        <v>5971</v>
      </c>
      <c r="K131" s="106">
        <v>5128.3999999999996</v>
      </c>
      <c r="L131" s="139">
        <v>268</v>
      </c>
      <c r="M131" s="137" t="s">
        <v>349</v>
      </c>
      <c r="N131" s="140" t="s">
        <v>1567</v>
      </c>
      <c r="O131" s="106">
        <v>1877040.31</v>
      </c>
      <c r="P131" s="106">
        <f t="shared" si="2"/>
        <v>309.53830969656991</v>
      </c>
      <c r="Q131" s="106">
        <v>2032.7659861477571</v>
      </c>
    </row>
    <row r="132" spans="1:17" ht="35.25" x14ac:dyDescent="0.5">
      <c r="A132" s="6">
        <v>1</v>
      </c>
      <c r="B132" s="92">
        <f>SUBTOTAL(103,$A$65:A132)</f>
        <v>62</v>
      </c>
      <c r="C132" s="141" t="s">
        <v>1503</v>
      </c>
      <c r="D132" s="137">
        <v>1983</v>
      </c>
      <c r="E132" s="137"/>
      <c r="F132" s="138" t="s">
        <v>273</v>
      </c>
      <c r="G132" s="137">
        <v>5</v>
      </c>
      <c r="H132" s="137">
        <v>6</v>
      </c>
      <c r="I132" s="106">
        <v>4247.2</v>
      </c>
      <c r="J132" s="106">
        <v>3821.7</v>
      </c>
      <c r="K132" s="106">
        <v>3620.8</v>
      </c>
      <c r="L132" s="139">
        <v>176</v>
      </c>
      <c r="M132" s="137" t="s">
        <v>275</v>
      </c>
      <c r="N132" s="140" t="s">
        <v>1568</v>
      </c>
      <c r="O132" s="106">
        <v>293340.08</v>
      </c>
      <c r="P132" s="106">
        <f t="shared" si="2"/>
        <v>69.066698059898286</v>
      </c>
      <c r="Q132" s="106">
        <v>1615.5578027877189</v>
      </c>
    </row>
    <row r="133" spans="1:17" ht="35.25" x14ac:dyDescent="0.5">
      <c r="A133" s="6">
        <v>1</v>
      </c>
      <c r="B133" s="92">
        <f>SUBTOTAL(103,$A$65:A133)</f>
        <v>63</v>
      </c>
      <c r="C133" s="141" t="s">
        <v>1504</v>
      </c>
      <c r="D133" s="137">
        <v>1973</v>
      </c>
      <c r="E133" s="137"/>
      <c r="F133" s="138" t="s">
        <v>273</v>
      </c>
      <c r="G133" s="137">
        <v>5</v>
      </c>
      <c r="H133" s="137">
        <v>8</v>
      </c>
      <c r="I133" s="106">
        <v>6143</v>
      </c>
      <c r="J133" s="106">
        <v>6075.43</v>
      </c>
      <c r="K133" s="106">
        <v>5422.03</v>
      </c>
      <c r="L133" s="139">
        <v>275</v>
      </c>
      <c r="M133" s="137" t="s">
        <v>275</v>
      </c>
      <c r="N133" s="140" t="s">
        <v>1569</v>
      </c>
      <c r="O133" s="106">
        <v>35169.75</v>
      </c>
      <c r="P133" s="106">
        <f t="shared" si="2"/>
        <v>5.7251749959303275</v>
      </c>
      <c r="Q133" s="106">
        <v>1815.704655705681</v>
      </c>
    </row>
    <row r="134" spans="1:17" ht="35.25" x14ac:dyDescent="0.5">
      <c r="A134" s="6">
        <v>1</v>
      </c>
      <c r="B134" s="92">
        <f>SUBTOTAL(103,$A$65:A134)</f>
        <v>64</v>
      </c>
      <c r="C134" s="141" t="s">
        <v>1505</v>
      </c>
      <c r="D134" s="137">
        <v>1961</v>
      </c>
      <c r="E134" s="137"/>
      <c r="F134" s="138" t="s">
        <v>273</v>
      </c>
      <c r="G134" s="137">
        <v>4</v>
      </c>
      <c r="H134" s="137">
        <v>3</v>
      </c>
      <c r="I134" s="106">
        <v>2176</v>
      </c>
      <c r="J134" s="106">
        <v>2029.3</v>
      </c>
      <c r="K134" s="106">
        <v>1988.8</v>
      </c>
      <c r="L134" s="139">
        <v>89</v>
      </c>
      <c r="M134" s="137" t="s">
        <v>275</v>
      </c>
      <c r="N134" s="140" t="s">
        <v>1371</v>
      </c>
      <c r="O134" s="106">
        <v>104524.7</v>
      </c>
      <c r="P134" s="106">
        <f t="shared" si="2"/>
        <v>48.035248161764706</v>
      </c>
      <c r="Q134" s="106">
        <v>2044.7879411764704</v>
      </c>
    </row>
    <row r="135" spans="1:17" ht="35.25" x14ac:dyDescent="0.5">
      <c r="A135" s="6">
        <v>1</v>
      </c>
      <c r="B135" s="92">
        <f>SUBTOTAL(103,$A$65:A135)</f>
        <v>65</v>
      </c>
      <c r="C135" s="141" t="s">
        <v>1506</v>
      </c>
      <c r="D135" s="137">
        <v>1961</v>
      </c>
      <c r="E135" s="137"/>
      <c r="F135" s="138" t="s">
        <v>273</v>
      </c>
      <c r="G135" s="137">
        <v>2</v>
      </c>
      <c r="H135" s="137">
        <v>2</v>
      </c>
      <c r="I135" s="106">
        <v>588.42999999999995</v>
      </c>
      <c r="J135" s="106">
        <v>546.92999999999995</v>
      </c>
      <c r="K135" s="106">
        <v>516.08000000000004</v>
      </c>
      <c r="L135" s="139">
        <v>30</v>
      </c>
      <c r="M135" s="137" t="s">
        <v>275</v>
      </c>
      <c r="N135" s="140" t="s">
        <v>1015</v>
      </c>
      <c r="O135" s="106">
        <v>123830</v>
      </c>
      <c r="P135" s="106">
        <f t="shared" si="2"/>
        <v>210.44134391516411</v>
      </c>
      <c r="Q135" s="106">
        <v>5321.8705368523024</v>
      </c>
    </row>
    <row r="136" spans="1:17" ht="35.25" x14ac:dyDescent="0.5">
      <c r="A136" s="6">
        <v>1</v>
      </c>
      <c r="B136" s="92">
        <f>SUBTOTAL(103,$A$65:A136)</f>
        <v>66</v>
      </c>
      <c r="C136" s="141" t="s">
        <v>1507</v>
      </c>
      <c r="D136" s="137">
        <v>1963</v>
      </c>
      <c r="E136" s="137"/>
      <c r="F136" s="138" t="s">
        <v>273</v>
      </c>
      <c r="G136" s="137">
        <v>4</v>
      </c>
      <c r="H136" s="137">
        <v>4</v>
      </c>
      <c r="I136" s="106">
        <v>2368</v>
      </c>
      <c r="J136" s="106">
        <v>2347.9899999999998</v>
      </c>
      <c r="K136" s="106">
        <v>2199.56</v>
      </c>
      <c r="L136" s="139">
        <v>87</v>
      </c>
      <c r="M136" s="137" t="s">
        <v>275</v>
      </c>
      <c r="N136" s="140" t="s">
        <v>1570</v>
      </c>
      <c r="O136" s="106">
        <v>1697748.89</v>
      </c>
      <c r="P136" s="106">
        <f t="shared" si="2"/>
        <v>716.95476773648647</v>
      </c>
      <c r="Q136" s="106">
        <v>3160.5909966216218</v>
      </c>
    </row>
    <row r="137" spans="1:17" ht="35.25" x14ac:dyDescent="0.5">
      <c r="A137" s="6">
        <v>1</v>
      </c>
      <c r="B137" s="92">
        <f>SUBTOTAL(103,$A$65:A137)</f>
        <v>67</v>
      </c>
      <c r="C137" s="141" t="s">
        <v>1508</v>
      </c>
      <c r="D137" s="137">
        <v>1971</v>
      </c>
      <c r="E137" s="137"/>
      <c r="F137" s="138" t="s">
        <v>273</v>
      </c>
      <c r="G137" s="137">
        <v>4</v>
      </c>
      <c r="H137" s="137">
        <v>1</v>
      </c>
      <c r="I137" s="106">
        <v>1601</v>
      </c>
      <c r="J137" s="106">
        <v>1473.9</v>
      </c>
      <c r="K137" s="106">
        <v>1166.5999999999999</v>
      </c>
      <c r="L137" s="139">
        <v>103</v>
      </c>
      <c r="M137" s="137" t="s">
        <v>275</v>
      </c>
      <c r="N137" s="140" t="s">
        <v>1015</v>
      </c>
      <c r="O137" s="106">
        <v>184374.75</v>
      </c>
      <c r="P137" s="106">
        <f t="shared" si="2"/>
        <v>115.16224234853216</v>
      </c>
      <c r="Q137" s="106">
        <v>2522.4030480949405</v>
      </c>
    </row>
    <row r="138" spans="1:17" ht="35.25" x14ac:dyDescent="0.5">
      <c r="A138" s="6">
        <v>1</v>
      </c>
      <c r="B138" s="92">
        <f>SUBTOTAL(103,$A$65:A138)</f>
        <v>68</v>
      </c>
      <c r="C138" s="141" t="s">
        <v>1509</v>
      </c>
      <c r="D138" s="137">
        <v>1963</v>
      </c>
      <c r="E138" s="137"/>
      <c r="F138" s="138" t="s">
        <v>273</v>
      </c>
      <c r="G138" s="137">
        <v>2</v>
      </c>
      <c r="H138" s="137">
        <v>2</v>
      </c>
      <c r="I138" s="106">
        <v>1027.9000000000001</v>
      </c>
      <c r="J138" s="106">
        <v>620.86</v>
      </c>
      <c r="K138" s="106">
        <v>620.86</v>
      </c>
      <c r="L138" s="139">
        <v>40</v>
      </c>
      <c r="M138" s="137" t="s">
        <v>275</v>
      </c>
      <c r="N138" s="140" t="s">
        <v>1571</v>
      </c>
      <c r="O138" s="106">
        <v>37984.35</v>
      </c>
      <c r="P138" s="106">
        <f t="shared" si="2"/>
        <v>36.953351493335923</v>
      </c>
      <c r="Q138" s="106">
        <v>3287.6857087265298</v>
      </c>
    </row>
    <row r="139" spans="1:17" ht="35.25" x14ac:dyDescent="0.5">
      <c r="A139" s="6">
        <v>1</v>
      </c>
      <c r="B139" s="92">
        <f>SUBTOTAL(103,$A$65:A139)</f>
        <v>69</v>
      </c>
      <c r="C139" s="141" t="s">
        <v>1510</v>
      </c>
      <c r="D139" s="137">
        <v>2003</v>
      </c>
      <c r="E139" s="137"/>
      <c r="F139" s="138" t="s">
        <v>273</v>
      </c>
      <c r="G139" s="137">
        <v>5</v>
      </c>
      <c r="H139" s="137">
        <v>8</v>
      </c>
      <c r="I139" s="106">
        <v>6514</v>
      </c>
      <c r="J139" s="106">
        <v>5845.8</v>
      </c>
      <c r="K139" s="106">
        <v>5845.8</v>
      </c>
      <c r="L139" s="139">
        <v>360</v>
      </c>
      <c r="M139" s="137" t="s">
        <v>275</v>
      </c>
      <c r="N139" s="140" t="s">
        <v>1572</v>
      </c>
      <c r="O139" s="106">
        <v>1197776.18</v>
      </c>
      <c r="P139" s="106">
        <f t="shared" si="2"/>
        <v>183.87721522873809</v>
      </c>
      <c r="Q139" s="106">
        <v>1437.5832883021187</v>
      </c>
    </row>
    <row r="140" spans="1:17" ht="35.25" x14ac:dyDescent="0.5">
      <c r="A140" s="6">
        <v>1</v>
      </c>
      <c r="B140" s="92">
        <f>SUBTOTAL(103,$A$65:A140)</f>
        <v>70</v>
      </c>
      <c r="C140" s="141" t="s">
        <v>1511</v>
      </c>
      <c r="D140" s="137">
        <v>1960</v>
      </c>
      <c r="E140" s="137"/>
      <c r="F140" s="138" t="s">
        <v>273</v>
      </c>
      <c r="G140" s="137">
        <v>2</v>
      </c>
      <c r="H140" s="137">
        <v>2</v>
      </c>
      <c r="I140" s="106">
        <v>585.54999999999995</v>
      </c>
      <c r="J140" s="106">
        <v>545.35</v>
      </c>
      <c r="K140" s="106">
        <v>433.53000000000003</v>
      </c>
      <c r="L140" s="139">
        <v>34</v>
      </c>
      <c r="M140" s="137" t="s">
        <v>275</v>
      </c>
      <c r="N140" s="140" t="s">
        <v>1571</v>
      </c>
      <c r="O140" s="106">
        <v>69473.710000000006</v>
      </c>
      <c r="P140" s="106">
        <f t="shared" si="2"/>
        <v>118.64693023652978</v>
      </c>
      <c r="Q140" s="106">
        <v>4645.9858252924605</v>
      </c>
    </row>
    <row r="141" spans="1:17" ht="35.25" x14ac:dyDescent="0.5">
      <c r="A141" s="6">
        <v>1</v>
      </c>
      <c r="B141" s="92">
        <f>SUBTOTAL(103,$A$65:A141)</f>
        <v>71</v>
      </c>
      <c r="C141" s="141" t="s">
        <v>1191</v>
      </c>
      <c r="D141" s="137">
        <v>1989</v>
      </c>
      <c r="E141" s="137"/>
      <c r="F141" s="138" t="s">
        <v>273</v>
      </c>
      <c r="G141" s="137">
        <v>9</v>
      </c>
      <c r="H141" s="137">
        <v>1</v>
      </c>
      <c r="I141" s="106">
        <v>3494</v>
      </c>
      <c r="J141" s="106">
        <v>3277.11</v>
      </c>
      <c r="K141" s="106">
        <v>3141.61</v>
      </c>
      <c r="L141" s="139">
        <v>159</v>
      </c>
      <c r="M141" s="137" t="s">
        <v>275</v>
      </c>
      <c r="N141" s="140" t="s">
        <v>1573</v>
      </c>
      <c r="O141" s="106">
        <v>275836.81</v>
      </c>
      <c r="P141" s="106">
        <f t="shared" si="2"/>
        <v>78.945852890669713</v>
      </c>
      <c r="Q141" s="106">
        <v>861.65972524327424</v>
      </c>
    </row>
    <row r="142" spans="1:17" ht="35.25" x14ac:dyDescent="0.5">
      <c r="A142" s="6">
        <v>1</v>
      </c>
      <c r="B142" s="92">
        <f>SUBTOTAL(103,$A$65:A142)</f>
        <v>72</v>
      </c>
      <c r="C142" s="141" t="s">
        <v>1512</v>
      </c>
      <c r="D142" s="137">
        <v>1987</v>
      </c>
      <c r="E142" s="137"/>
      <c r="F142" s="138" t="s">
        <v>319</v>
      </c>
      <c r="G142" s="137">
        <v>5</v>
      </c>
      <c r="H142" s="137">
        <v>6</v>
      </c>
      <c r="I142" s="106">
        <v>4362</v>
      </c>
      <c r="J142" s="106">
        <v>3933.6</v>
      </c>
      <c r="K142" s="106">
        <v>3462.6</v>
      </c>
      <c r="L142" s="139">
        <v>234</v>
      </c>
      <c r="M142" s="140" t="s">
        <v>275</v>
      </c>
      <c r="N142" s="142" t="s">
        <v>329</v>
      </c>
      <c r="O142" s="106">
        <v>101365.01</v>
      </c>
      <c r="P142" s="106">
        <f t="shared" si="2"/>
        <v>23.238195781751489</v>
      </c>
      <c r="Q142" s="106">
        <v>1478.7954653828519</v>
      </c>
    </row>
    <row r="143" spans="1:17" ht="35.25" x14ac:dyDescent="0.5">
      <c r="A143" s="6">
        <v>1</v>
      </c>
      <c r="B143" s="92">
        <f>SUBTOTAL(103,$A$65:A143)</f>
        <v>73</v>
      </c>
      <c r="C143" s="141" t="s">
        <v>1550</v>
      </c>
      <c r="D143" s="137">
        <v>1966</v>
      </c>
      <c r="E143" s="137"/>
      <c r="F143" s="138" t="s">
        <v>273</v>
      </c>
      <c r="G143" s="137">
        <v>5</v>
      </c>
      <c r="H143" s="137">
        <v>4</v>
      </c>
      <c r="I143" s="106">
        <v>3416</v>
      </c>
      <c r="J143" s="106">
        <v>3392</v>
      </c>
      <c r="K143" s="106">
        <v>2976.63</v>
      </c>
      <c r="L143" s="139">
        <v>150</v>
      </c>
      <c r="M143" s="140" t="s">
        <v>275</v>
      </c>
      <c r="N143" s="142" t="s">
        <v>1571</v>
      </c>
      <c r="O143" s="106">
        <v>86282.11</v>
      </c>
      <c r="P143" s="106">
        <f t="shared" si="2"/>
        <v>25.258228922716629</v>
      </c>
      <c r="Q143" s="106">
        <v>703.11</v>
      </c>
    </row>
    <row r="144" spans="1:17" ht="35.25" x14ac:dyDescent="0.5">
      <c r="B144" s="136" t="s">
        <v>1448</v>
      </c>
      <c r="C144" s="141"/>
      <c r="D144" s="137" t="s">
        <v>776</v>
      </c>
      <c r="E144" s="137" t="s">
        <v>776</v>
      </c>
      <c r="F144" s="138" t="s">
        <v>776</v>
      </c>
      <c r="G144" s="137" t="s">
        <v>776</v>
      </c>
      <c r="H144" s="137" t="s">
        <v>776</v>
      </c>
      <c r="I144" s="106">
        <f>SUM(I145:I149)</f>
        <v>39280</v>
      </c>
      <c r="J144" s="106">
        <f>SUM(J145:J149)</f>
        <v>34872.199999999997</v>
      </c>
      <c r="K144" s="106">
        <f>SUM(K145:K149)</f>
        <v>32288.5</v>
      </c>
      <c r="L144" s="139">
        <f>SUM(L145:L149)</f>
        <v>1995</v>
      </c>
      <c r="M144" s="137" t="s">
        <v>916</v>
      </c>
      <c r="N144" s="137" t="s">
        <v>916</v>
      </c>
      <c r="O144" s="106">
        <v>1568340.86</v>
      </c>
      <c r="P144" s="106">
        <f t="shared" si="2"/>
        <v>39.927211303462322</v>
      </c>
      <c r="Q144" s="106">
        <f>MAX(Q145:Q149)</f>
        <v>848.76936373153421</v>
      </c>
    </row>
    <row r="145" spans="1:17" ht="35.25" x14ac:dyDescent="0.5">
      <c r="A145" s="6">
        <v>1</v>
      </c>
      <c r="B145" s="92">
        <f>SUBTOTAL(103,$A$65:A145)</f>
        <v>74</v>
      </c>
      <c r="C145" s="141" t="s">
        <v>1513</v>
      </c>
      <c r="D145" s="137">
        <v>1978</v>
      </c>
      <c r="E145" s="137"/>
      <c r="F145" s="138" t="s">
        <v>319</v>
      </c>
      <c r="G145" s="137">
        <v>9</v>
      </c>
      <c r="H145" s="137">
        <v>4</v>
      </c>
      <c r="I145" s="106">
        <v>8707</v>
      </c>
      <c r="J145" s="106">
        <v>7693.6</v>
      </c>
      <c r="K145" s="106">
        <v>7347.1</v>
      </c>
      <c r="L145" s="139">
        <v>357</v>
      </c>
      <c r="M145" s="137" t="s">
        <v>275</v>
      </c>
      <c r="N145" s="140" t="s">
        <v>327</v>
      </c>
      <c r="O145" s="106">
        <v>388505.87</v>
      </c>
      <c r="P145" s="106">
        <f t="shared" si="2"/>
        <v>44.619946020443322</v>
      </c>
      <c r="Q145" s="106">
        <v>805.48273182496837</v>
      </c>
    </row>
    <row r="146" spans="1:17" ht="35.25" x14ac:dyDescent="0.5">
      <c r="A146" s="6">
        <v>1</v>
      </c>
      <c r="B146" s="92">
        <f>SUBTOTAL(103,$A$65:A146)</f>
        <v>75</v>
      </c>
      <c r="C146" s="141" t="s">
        <v>1514</v>
      </c>
      <c r="D146" s="137">
        <v>1981</v>
      </c>
      <c r="E146" s="137"/>
      <c r="F146" s="138" t="s">
        <v>319</v>
      </c>
      <c r="G146" s="137">
        <v>9</v>
      </c>
      <c r="H146" s="137">
        <v>4</v>
      </c>
      <c r="I146" s="106">
        <v>8838.4</v>
      </c>
      <c r="J146" s="106">
        <v>7825</v>
      </c>
      <c r="K146" s="106">
        <v>7353.9</v>
      </c>
      <c r="L146" s="139">
        <v>387</v>
      </c>
      <c r="M146" s="137" t="s">
        <v>275</v>
      </c>
      <c r="N146" s="140" t="s">
        <v>327</v>
      </c>
      <c r="O146" s="106">
        <v>388505.87</v>
      </c>
      <c r="P146" s="106">
        <f t="shared" si="2"/>
        <v>43.956583770818249</v>
      </c>
      <c r="Q146" s="106">
        <v>815.80604430666187</v>
      </c>
    </row>
    <row r="147" spans="1:17" ht="35.25" x14ac:dyDescent="0.5">
      <c r="A147" s="6">
        <v>1</v>
      </c>
      <c r="B147" s="92">
        <f>SUBTOTAL(103,$A$65:A147)</f>
        <v>76</v>
      </c>
      <c r="C147" s="141" t="s">
        <v>392</v>
      </c>
      <c r="D147" s="137">
        <v>1982</v>
      </c>
      <c r="E147" s="137"/>
      <c r="F147" s="138" t="s">
        <v>319</v>
      </c>
      <c r="G147" s="137">
        <v>9</v>
      </c>
      <c r="H147" s="137">
        <v>4</v>
      </c>
      <c r="I147" s="106">
        <v>8597</v>
      </c>
      <c r="J147" s="106">
        <v>7716.1</v>
      </c>
      <c r="K147" s="106">
        <v>7190.6</v>
      </c>
      <c r="L147" s="139">
        <v>399</v>
      </c>
      <c r="M147" s="137" t="s">
        <v>275</v>
      </c>
      <c r="N147" s="140" t="s">
        <v>327</v>
      </c>
      <c r="O147" s="106">
        <v>292385.17000000004</v>
      </c>
      <c r="P147" s="106">
        <f t="shared" si="2"/>
        <v>34.010139583575672</v>
      </c>
      <c r="Q147" s="106">
        <v>848.76936373153421</v>
      </c>
    </row>
    <row r="148" spans="1:17" ht="35.25" x14ac:dyDescent="0.5">
      <c r="A148" s="6">
        <v>1</v>
      </c>
      <c r="B148" s="92">
        <f>SUBTOTAL(103,$A$65:A148)</f>
        <v>77</v>
      </c>
      <c r="C148" s="141" t="s">
        <v>1515</v>
      </c>
      <c r="D148" s="137">
        <v>1983</v>
      </c>
      <c r="E148" s="137"/>
      <c r="F148" s="138" t="s">
        <v>319</v>
      </c>
      <c r="G148" s="137">
        <v>9</v>
      </c>
      <c r="H148" s="137">
        <v>4</v>
      </c>
      <c r="I148" s="106">
        <v>8601.7999999999993</v>
      </c>
      <c r="J148" s="106">
        <v>7730</v>
      </c>
      <c r="K148" s="106">
        <v>7318.9</v>
      </c>
      <c r="L148" s="139">
        <v>404</v>
      </c>
      <c r="M148" s="137" t="s">
        <v>275</v>
      </c>
      <c r="N148" s="140" t="s">
        <v>327</v>
      </c>
      <c r="O148" s="106">
        <v>292385.17000000004</v>
      </c>
      <c r="P148" s="106">
        <f t="shared" si="2"/>
        <v>33.991161152316963</v>
      </c>
      <c r="Q148" s="106">
        <v>847.59291776139878</v>
      </c>
    </row>
    <row r="149" spans="1:17" ht="35.25" x14ac:dyDescent="0.5">
      <c r="A149" s="6">
        <v>1</v>
      </c>
      <c r="B149" s="92">
        <f>SUBTOTAL(103,$A$65:A149)</f>
        <v>78</v>
      </c>
      <c r="C149" s="141" t="s">
        <v>1516</v>
      </c>
      <c r="D149" s="137">
        <v>1987</v>
      </c>
      <c r="E149" s="137"/>
      <c r="F149" s="138" t="s">
        <v>273</v>
      </c>
      <c r="G149" s="137">
        <v>12</v>
      </c>
      <c r="H149" s="137">
        <v>1</v>
      </c>
      <c r="I149" s="106">
        <v>4535.8</v>
      </c>
      <c r="J149" s="106">
        <v>3907.5</v>
      </c>
      <c r="K149" s="106">
        <v>3078</v>
      </c>
      <c r="L149" s="139">
        <v>448</v>
      </c>
      <c r="M149" s="137" t="s">
        <v>275</v>
      </c>
      <c r="N149" s="140" t="s">
        <v>327</v>
      </c>
      <c r="O149" s="106">
        <v>206558.78</v>
      </c>
      <c r="P149" s="106">
        <f t="shared" si="2"/>
        <v>45.539657833237797</v>
      </c>
      <c r="Q149" s="106">
        <v>688.54108117641863</v>
      </c>
    </row>
    <row r="150" spans="1:17" ht="35.25" x14ac:dyDescent="0.5">
      <c r="B150" s="136" t="s">
        <v>910</v>
      </c>
      <c r="C150" s="141"/>
      <c r="D150" s="137" t="s">
        <v>776</v>
      </c>
      <c r="E150" s="137" t="s">
        <v>776</v>
      </c>
      <c r="F150" s="138" t="s">
        <v>776</v>
      </c>
      <c r="G150" s="137" t="s">
        <v>776</v>
      </c>
      <c r="H150" s="137" t="s">
        <v>776</v>
      </c>
      <c r="I150" s="106">
        <f>I151+I152</f>
        <v>6959.2</v>
      </c>
      <c r="J150" s="106">
        <f>J151+J152</f>
        <v>6276.4</v>
      </c>
      <c r="K150" s="106">
        <f>K151+K152</f>
        <v>6276.4</v>
      </c>
      <c r="L150" s="139">
        <f>L151+L152</f>
        <v>259</v>
      </c>
      <c r="M150" s="137" t="s">
        <v>916</v>
      </c>
      <c r="N150" s="137" t="s">
        <v>916</v>
      </c>
      <c r="O150" s="106">
        <v>3247611.26</v>
      </c>
      <c r="P150" s="106">
        <f t="shared" si="2"/>
        <v>466.66445281066785</v>
      </c>
      <c r="Q150" s="106">
        <f>MAX(Q151:Q152)</f>
        <v>1415.0542319658907</v>
      </c>
    </row>
    <row r="151" spans="1:17" ht="35.25" x14ac:dyDescent="0.5">
      <c r="A151" s="6">
        <v>1</v>
      </c>
      <c r="B151" s="92">
        <f>SUBTOTAL(103,$A$65:A151)</f>
        <v>79</v>
      </c>
      <c r="C151" s="141" t="s">
        <v>1517</v>
      </c>
      <c r="D151" s="137">
        <v>1988</v>
      </c>
      <c r="E151" s="137"/>
      <c r="F151" s="138" t="s">
        <v>319</v>
      </c>
      <c r="G151" s="137">
        <v>5</v>
      </c>
      <c r="H151" s="137">
        <v>4</v>
      </c>
      <c r="I151" s="106">
        <v>3471.2</v>
      </c>
      <c r="J151" s="106">
        <v>3130.3</v>
      </c>
      <c r="K151" s="106">
        <v>3130.3</v>
      </c>
      <c r="L151" s="139">
        <v>113</v>
      </c>
      <c r="M151" s="137" t="s">
        <v>272</v>
      </c>
      <c r="N151" s="140" t="s">
        <v>274</v>
      </c>
      <c r="O151" s="106">
        <v>1625561.07</v>
      </c>
      <c r="P151" s="106">
        <f t="shared" si="2"/>
        <v>468.29945551970502</v>
      </c>
      <c r="Q151" s="106">
        <v>1415.0542319658907</v>
      </c>
    </row>
    <row r="152" spans="1:17" ht="35.25" x14ac:dyDescent="0.5">
      <c r="A152" s="6">
        <v>1</v>
      </c>
      <c r="B152" s="92">
        <f>SUBTOTAL(103,$A$65:A152)</f>
        <v>80</v>
      </c>
      <c r="C152" s="141" t="s">
        <v>1518</v>
      </c>
      <c r="D152" s="137">
        <v>1989</v>
      </c>
      <c r="E152" s="137"/>
      <c r="F152" s="138" t="s">
        <v>273</v>
      </c>
      <c r="G152" s="137">
        <v>5</v>
      </c>
      <c r="H152" s="137">
        <v>4</v>
      </c>
      <c r="I152" s="106">
        <v>3488</v>
      </c>
      <c r="J152" s="106">
        <v>3146.1</v>
      </c>
      <c r="K152" s="106">
        <v>3146.1</v>
      </c>
      <c r="L152" s="139">
        <v>146</v>
      </c>
      <c r="M152" s="137" t="s">
        <v>272</v>
      </c>
      <c r="N152" s="140" t="s">
        <v>274</v>
      </c>
      <c r="O152" s="106">
        <v>1622050.19</v>
      </c>
      <c r="P152" s="106">
        <f t="shared" si="2"/>
        <v>465.03732511467888</v>
      </c>
      <c r="Q152" s="106">
        <v>1408.2386037844037</v>
      </c>
    </row>
    <row r="153" spans="1:17" ht="35.25" x14ac:dyDescent="0.5">
      <c r="B153" s="136" t="s">
        <v>1449</v>
      </c>
      <c r="C153" s="141"/>
      <c r="D153" s="137" t="s">
        <v>776</v>
      </c>
      <c r="E153" s="137" t="s">
        <v>776</v>
      </c>
      <c r="F153" s="138" t="s">
        <v>776</v>
      </c>
      <c r="G153" s="137" t="s">
        <v>776</v>
      </c>
      <c r="H153" s="137" t="s">
        <v>776</v>
      </c>
      <c r="I153" s="106">
        <f>I154</f>
        <v>978.6</v>
      </c>
      <c r="J153" s="106">
        <f>J154</f>
        <v>880.3</v>
      </c>
      <c r="K153" s="106">
        <f>K154</f>
        <v>821.4</v>
      </c>
      <c r="L153" s="139">
        <f>L154</f>
        <v>30</v>
      </c>
      <c r="M153" s="137" t="s">
        <v>916</v>
      </c>
      <c r="N153" s="137" t="s">
        <v>916</v>
      </c>
      <c r="O153" s="106">
        <v>13131.869999999999</v>
      </c>
      <c r="P153" s="106">
        <f t="shared" si="2"/>
        <v>13.419037400367872</v>
      </c>
      <c r="Q153" s="106">
        <f>Q154</f>
        <v>2913.3853832004907</v>
      </c>
    </row>
    <row r="154" spans="1:17" ht="35.25" x14ac:dyDescent="0.5">
      <c r="A154" s="6">
        <v>1</v>
      </c>
      <c r="B154" s="92">
        <f>SUBTOTAL(103,$A$65:A154)</f>
        <v>81</v>
      </c>
      <c r="C154" s="141" t="s">
        <v>1519</v>
      </c>
      <c r="D154" s="137">
        <v>1985</v>
      </c>
      <c r="E154" s="137"/>
      <c r="F154" s="138" t="s">
        <v>319</v>
      </c>
      <c r="G154" s="137">
        <v>2</v>
      </c>
      <c r="H154" s="137">
        <v>2</v>
      </c>
      <c r="I154" s="106">
        <v>978.6</v>
      </c>
      <c r="J154" s="106">
        <v>880.3</v>
      </c>
      <c r="K154" s="106">
        <v>821.4</v>
      </c>
      <c r="L154" s="139">
        <v>30</v>
      </c>
      <c r="M154" s="137" t="s">
        <v>272</v>
      </c>
      <c r="N154" s="140" t="s">
        <v>274</v>
      </c>
      <c r="O154" s="106">
        <v>13131.869999999999</v>
      </c>
      <c r="P154" s="106">
        <f t="shared" si="2"/>
        <v>13.419037400367872</v>
      </c>
      <c r="Q154" s="106">
        <v>2913.3853832004907</v>
      </c>
    </row>
    <row r="155" spans="1:17" ht="35.25" x14ac:dyDescent="0.5">
      <c r="B155" s="136" t="s">
        <v>885</v>
      </c>
      <c r="C155" s="141"/>
      <c r="D155" s="137" t="s">
        <v>776</v>
      </c>
      <c r="E155" s="137" t="s">
        <v>776</v>
      </c>
      <c r="F155" s="138" t="s">
        <v>776</v>
      </c>
      <c r="G155" s="137" t="s">
        <v>776</v>
      </c>
      <c r="H155" s="137" t="s">
        <v>776</v>
      </c>
      <c r="I155" s="106">
        <f>I156</f>
        <v>3121</v>
      </c>
      <c r="J155" s="106">
        <f>J156</f>
        <v>1791</v>
      </c>
      <c r="K155" s="106">
        <f>K156</f>
        <v>1791</v>
      </c>
      <c r="L155" s="139">
        <f>L156</f>
        <v>171</v>
      </c>
      <c r="M155" s="137" t="s">
        <v>916</v>
      </c>
      <c r="N155" s="137" t="s">
        <v>916</v>
      </c>
      <c r="O155" s="106">
        <v>778244.79</v>
      </c>
      <c r="P155" s="106">
        <f t="shared" si="2"/>
        <v>249.35751041332907</v>
      </c>
      <c r="Q155" s="106">
        <f>Q156</f>
        <v>1883.7583627042613</v>
      </c>
    </row>
    <row r="156" spans="1:17" ht="35.25" x14ac:dyDescent="0.5">
      <c r="A156" s="6">
        <v>1</v>
      </c>
      <c r="B156" s="92">
        <f>SUBTOTAL(103,$A$65:A156)</f>
        <v>82</v>
      </c>
      <c r="C156" s="141" t="s">
        <v>1520</v>
      </c>
      <c r="D156" s="137">
        <v>1986</v>
      </c>
      <c r="E156" s="137"/>
      <c r="F156" s="138" t="s">
        <v>319</v>
      </c>
      <c r="G156" s="137">
        <v>5</v>
      </c>
      <c r="H156" s="137">
        <v>4</v>
      </c>
      <c r="I156" s="106">
        <v>3121</v>
      </c>
      <c r="J156" s="106">
        <v>1791</v>
      </c>
      <c r="K156" s="106">
        <v>1791</v>
      </c>
      <c r="L156" s="139">
        <v>171</v>
      </c>
      <c r="M156" s="137" t="s">
        <v>349</v>
      </c>
      <c r="N156" s="140" t="s">
        <v>1574</v>
      </c>
      <c r="O156" s="106">
        <v>778244.79</v>
      </c>
      <c r="P156" s="106">
        <f t="shared" si="2"/>
        <v>249.35751041332907</v>
      </c>
      <c r="Q156" s="106">
        <v>1883.7583627042613</v>
      </c>
    </row>
    <row r="157" spans="1:17" ht="35.25" x14ac:dyDescent="0.5">
      <c r="B157" s="136" t="s">
        <v>871</v>
      </c>
      <c r="C157" s="141"/>
      <c r="D157" s="137" t="s">
        <v>776</v>
      </c>
      <c r="E157" s="137" t="s">
        <v>776</v>
      </c>
      <c r="F157" s="138" t="s">
        <v>776</v>
      </c>
      <c r="G157" s="137" t="s">
        <v>776</v>
      </c>
      <c r="H157" s="137" t="s">
        <v>776</v>
      </c>
      <c r="I157" s="106">
        <f>I158+I159+I160+I161</f>
        <v>6289.82</v>
      </c>
      <c r="J157" s="106">
        <f>J158+J159+J160+J161</f>
        <v>5576.1399999999994</v>
      </c>
      <c r="K157" s="106">
        <f>K158+K159+K160+K161</f>
        <v>5336.24</v>
      </c>
      <c r="L157" s="139">
        <f>L158+L159+L160+L161</f>
        <v>266</v>
      </c>
      <c r="M157" s="137" t="s">
        <v>916</v>
      </c>
      <c r="N157" s="137" t="s">
        <v>916</v>
      </c>
      <c r="O157" s="106">
        <v>1212193.2</v>
      </c>
      <c r="P157" s="106">
        <f t="shared" si="2"/>
        <v>192.72303499941174</v>
      </c>
      <c r="Q157" s="106">
        <f>MAX(Q158:Q161)</f>
        <v>5481.1931443834401</v>
      </c>
    </row>
    <row r="158" spans="1:17" ht="35.25" x14ac:dyDescent="0.5">
      <c r="A158" s="6">
        <v>1</v>
      </c>
      <c r="B158" s="92">
        <f>SUBTOTAL(103,$A$65:A158)</f>
        <v>83</v>
      </c>
      <c r="C158" s="141" t="s">
        <v>1521</v>
      </c>
      <c r="D158" s="137">
        <v>1976</v>
      </c>
      <c r="E158" s="137"/>
      <c r="F158" s="138" t="s">
        <v>273</v>
      </c>
      <c r="G158" s="137">
        <v>5</v>
      </c>
      <c r="H158" s="137">
        <v>4</v>
      </c>
      <c r="I158" s="106">
        <v>3560.34</v>
      </c>
      <c r="J158" s="106">
        <v>3122.34</v>
      </c>
      <c r="K158" s="106">
        <f>J158-30.4</f>
        <v>3091.94</v>
      </c>
      <c r="L158" s="139">
        <v>145</v>
      </c>
      <c r="M158" s="137" t="s">
        <v>275</v>
      </c>
      <c r="N158" s="140" t="s">
        <v>1575</v>
      </c>
      <c r="O158" s="106">
        <v>778290.84</v>
      </c>
      <c r="P158" s="106">
        <f t="shared" si="2"/>
        <v>218.60014492997857</v>
      </c>
      <c r="Q158" s="106">
        <v>1626.6847211221398</v>
      </c>
    </row>
    <row r="159" spans="1:17" ht="35.25" x14ac:dyDescent="0.5">
      <c r="A159" s="6">
        <v>1</v>
      </c>
      <c r="B159" s="92">
        <f>SUBTOTAL(103,$A$65:A159)</f>
        <v>84</v>
      </c>
      <c r="C159" s="141" t="s">
        <v>1522</v>
      </c>
      <c r="D159" s="137">
        <v>1958</v>
      </c>
      <c r="E159" s="137"/>
      <c r="F159" s="138" t="s">
        <v>273</v>
      </c>
      <c r="G159" s="137">
        <v>2</v>
      </c>
      <c r="H159" s="137">
        <v>2</v>
      </c>
      <c r="I159" s="106">
        <v>673.9</v>
      </c>
      <c r="J159" s="106">
        <v>615.9</v>
      </c>
      <c r="K159" s="106">
        <v>562.29999999999995</v>
      </c>
      <c r="L159" s="139">
        <v>32</v>
      </c>
      <c r="M159" s="137" t="s">
        <v>272</v>
      </c>
      <c r="N159" s="140" t="s">
        <v>274</v>
      </c>
      <c r="O159" s="106">
        <v>7786.07</v>
      </c>
      <c r="P159" s="106">
        <f t="shared" si="2"/>
        <v>11.553746846713162</v>
      </c>
      <c r="Q159" s="106">
        <v>5481.1931443834401</v>
      </c>
    </row>
    <row r="160" spans="1:17" ht="35.25" x14ac:dyDescent="0.5">
      <c r="A160" s="6">
        <v>1</v>
      </c>
      <c r="B160" s="92">
        <f>SUBTOTAL(103,$A$65:A160)</f>
        <v>85</v>
      </c>
      <c r="C160" s="141" t="s">
        <v>1523</v>
      </c>
      <c r="D160" s="137">
        <v>1975</v>
      </c>
      <c r="E160" s="137"/>
      <c r="F160" s="138" t="s">
        <v>273</v>
      </c>
      <c r="G160" s="137">
        <v>2</v>
      </c>
      <c r="H160" s="137">
        <v>2</v>
      </c>
      <c r="I160" s="106">
        <v>768.5</v>
      </c>
      <c r="J160" s="106">
        <v>710</v>
      </c>
      <c r="K160" s="106">
        <v>655.20000000000005</v>
      </c>
      <c r="L160" s="139">
        <v>38</v>
      </c>
      <c r="M160" s="137" t="s">
        <v>272</v>
      </c>
      <c r="N160" s="140" t="s">
        <v>274</v>
      </c>
      <c r="O160" s="106">
        <v>368445</v>
      </c>
      <c r="P160" s="106">
        <f t="shared" si="2"/>
        <v>479.43396226415092</v>
      </c>
      <c r="Q160" s="106">
        <v>1474.0962706571243</v>
      </c>
    </row>
    <row r="161" spans="1:17" ht="35.25" x14ac:dyDescent="0.5">
      <c r="A161" s="6">
        <v>1</v>
      </c>
      <c r="B161" s="92">
        <f>SUBTOTAL(103,$A$65:A161)</f>
        <v>86</v>
      </c>
      <c r="C161" s="141" t="s">
        <v>1551</v>
      </c>
      <c r="D161" s="137">
        <v>1984</v>
      </c>
      <c r="E161" s="137"/>
      <c r="F161" s="138" t="s">
        <v>319</v>
      </c>
      <c r="G161" s="137">
        <v>4</v>
      </c>
      <c r="H161" s="137">
        <v>2</v>
      </c>
      <c r="I161" s="106">
        <v>1287.08</v>
      </c>
      <c r="J161" s="106">
        <v>1127.9000000000001</v>
      </c>
      <c r="K161" s="106">
        <v>1026.8</v>
      </c>
      <c r="L161" s="139">
        <v>51</v>
      </c>
      <c r="M161" s="137" t="s">
        <v>272</v>
      </c>
      <c r="N161" s="140" t="s">
        <v>274</v>
      </c>
      <c r="O161" s="106">
        <v>57671.29</v>
      </c>
      <c r="P161" s="106">
        <f t="shared" si="2"/>
        <v>44.807851881778916</v>
      </c>
      <c r="Q161" s="106">
        <v>2386.0938558597759</v>
      </c>
    </row>
    <row r="162" spans="1:17" ht="35.25" x14ac:dyDescent="0.5">
      <c r="B162" s="136" t="s">
        <v>895</v>
      </c>
      <c r="C162" s="141"/>
      <c r="D162" s="137" t="s">
        <v>776</v>
      </c>
      <c r="E162" s="137" t="s">
        <v>776</v>
      </c>
      <c r="F162" s="138" t="s">
        <v>776</v>
      </c>
      <c r="G162" s="137" t="s">
        <v>776</v>
      </c>
      <c r="H162" s="137" t="s">
        <v>776</v>
      </c>
      <c r="I162" s="106">
        <f>I163</f>
        <v>5085.1000000000004</v>
      </c>
      <c r="J162" s="106">
        <f>J163</f>
        <v>4673.5</v>
      </c>
      <c r="K162" s="106">
        <f>K163</f>
        <v>4551.8</v>
      </c>
      <c r="L162" s="139">
        <f>L163</f>
        <v>199</v>
      </c>
      <c r="M162" s="137" t="s">
        <v>916</v>
      </c>
      <c r="N162" s="137" t="s">
        <v>916</v>
      </c>
      <c r="O162" s="106">
        <v>425208.96</v>
      </c>
      <c r="P162" s="106">
        <f t="shared" si="2"/>
        <v>83.618603370631845</v>
      </c>
      <c r="Q162" s="106">
        <f>Q163</f>
        <v>1453.9728972881555</v>
      </c>
    </row>
    <row r="163" spans="1:17" ht="35.25" x14ac:dyDescent="0.5">
      <c r="A163" s="6">
        <v>1</v>
      </c>
      <c r="B163" s="92">
        <f>SUBTOTAL(103,$A$65:A163)</f>
        <v>87</v>
      </c>
      <c r="C163" s="141" t="s">
        <v>1524</v>
      </c>
      <c r="D163" s="137">
        <v>1982</v>
      </c>
      <c r="E163" s="137"/>
      <c r="F163" s="138" t="s">
        <v>319</v>
      </c>
      <c r="G163" s="137">
        <v>5</v>
      </c>
      <c r="H163" s="137">
        <v>6</v>
      </c>
      <c r="I163" s="106">
        <v>5085.1000000000004</v>
      </c>
      <c r="J163" s="106">
        <v>4673.5</v>
      </c>
      <c r="K163" s="106">
        <v>4551.8</v>
      </c>
      <c r="L163" s="139">
        <v>199</v>
      </c>
      <c r="M163" s="137" t="s">
        <v>349</v>
      </c>
      <c r="N163" s="140" t="s">
        <v>1576</v>
      </c>
      <c r="O163" s="106">
        <v>425208.96</v>
      </c>
      <c r="P163" s="106">
        <f t="shared" si="2"/>
        <v>83.618603370631845</v>
      </c>
      <c r="Q163" s="106">
        <v>1453.9728972881555</v>
      </c>
    </row>
    <row r="164" spans="1:17" ht="35.25" x14ac:dyDescent="0.5">
      <c r="B164" s="136" t="s">
        <v>856</v>
      </c>
      <c r="C164" s="141"/>
      <c r="D164" s="137" t="s">
        <v>776</v>
      </c>
      <c r="E164" s="137" t="s">
        <v>776</v>
      </c>
      <c r="F164" s="137" t="s">
        <v>776</v>
      </c>
      <c r="G164" s="137" t="s">
        <v>776</v>
      </c>
      <c r="H164" s="137" t="s">
        <v>776</v>
      </c>
      <c r="I164" s="106">
        <f>I165</f>
        <v>3387.86</v>
      </c>
      <c r="J164" s="106">
        <f>J165</f>
        <v>2034.29</v>
      </c>
      <c r="K164" s="106">
        <f>K165</f>
        <v>1015.36</v>
      </c>
      <c r="L164" s="139">
        <f>L165</f>
        <v>59</v>
      </c>
      <c r="M164" s="137" t="s">
        <v>916</v>
      </c>
      <c r="N164" s="137" t="s">
        <v>916</v>
      </c>
      <c r="O164" s="106">
        <v>354821.67</v>
      </c>
      <c r="P164" s="106">
        <f t="shared" si="2"/>
        <v>104.73327410223563</v>
      </c>
      <c r="Q164" s="106">
        <f>Q165</f>
        <v>1302.290150124267</v>
      </c>
    </row>
    <row r="165" spans="1:17" ht="35.25" x14ac:dyDescent="0.5">
      <c r="A165" s="6">
        <v>1</v>
      </c>
      <c r="B165" s="92">
        <f>SUBTOTAL(103,$A$65:A165)</f>
        <v>88</v>
      </c>
      <c r="C165" s="141" t="s">
        <v>1525</v>
      </c>
      <c r="D165" s="137">
        <v>1967</v>
      </c>
      <c r="E165" s="137"/>
      <c r="F165" s="138" t="s">
        <v>273</v>
      </c>
      <c r="G165" s="137">
        <v>4</v>
      </c>
      <c r="H165" s="137">
        <v>3</v>
      </c>
      <c r="I165" s="106">
        <v>3387.86</v>
      </c>
      <c r="J165" s="106">
        <v>2034.29</v>
      </c>
      <c r="K165" s="106">
        <v>1015.36</v>
      </c>
      <c r="L165" s="139">
        <v>59</v>
      </c>
      <c r="M165" s="137" t="s">
        <v>275</v>
      </c>
      <c r="N165" s="140" t="s">
        <v>1339</v>
      </c>
      <c r="O165" s="106">
        <v>354821.67</v>
      </c>
      <c r="P165" s="106">
        <f t="shared" si="2"/>
        <v>104.73327410223563</v>
      </c>
      <c r="Q165" s="106">
        <v>1302.290150124267</v>
      </c>
    </row>
    <row r="166" spans="1:17" ht="35.25" x14ac:dyDescent="0.5">
      <c r="B166" s="136" t="s">
        <v>1450</v>
      </c>
      <c r="C166" s="141"/>
      <c r="D166" s="137" t="s">
        <v>776</v>
      </c>
      <c r="E166" s="137" t="s">
        <v>776</v>
      </c>
      <c r="F166" s="138" t="s">
        <v>776</v>
      </c>
      <c r="G166" s="137" t="s">
        <v>776</v>
      </c>
      <c r="H166" s="137" t="s">
        <v>776</v>
      </c>
      <c r="I166" s="106">
        <f>I167+I168</f>
        <v>15972.619999999999</v>
      </c>
      <c r="J166" s="106">
        <f>J167+J168</f>
        <v>13085.72</v>
      </c>
      <c r="K166" s="106">
        <f>K167+K168</f>
        <v>12402.84</v>
      </c>
      <c r="L166" s="139">
        <f>L167+L168</f>
        <v>615</v>
      </c>
      <c r="M166" s="137" t="s">
        <v>916</v>
      </c>
      <c r="N166" s="137" t="s">
        <v>916</v>
      </c>
      <c r="O166" s="106">
        <v>1988549.43</v>
      </c>
      <c r="P166" s="106">
        <f t="shared" si="2"/>
        <v>124.49738552598134</v>
      </c>
      <c r="Q166" s="106">
        <f>MAX(Q167:Q168)</f>
        <v>2014.2289039536506</v>
      </c>
    </row>
    <row r="167" spans="1:17" ht="35.25" x14ac:dyDescent="0.5">
      <c r="A167" s="6">
        <v>1</v>
      </c>
      <c r="B167" s="92">
        <f>SUBTOTAL(103,$A$65:A167)</f>
        <v>89</v>
      </c>
      <c r="C167" s="141" t="s">
        <v>1526</v>
      </c>
      <c r="D167" s="137">
        <v>1989</v>
      </c>
      <c r="E167" s="137"/>
      <c r="F167" s="138" t="s">
        <v>273</v>
      </c>
      <c r="G167" s="137">
        <v>5</v>
      </c>
      <c r="H167" s="137">
        <v>12</v>
      </c>
      <c r="I167" s="106">
        <v>10086.92</v>
      </c>
      <c r="J167" s="106">
        <v>8329.2199999999993</v>
      </c>
      <c r="K167" s="106">
        <v>7734.54</v>
      </c>
      <c r="L167" s="139">
        <v>405</v>
      </c>
      <c r="M167" s="137" t="s">
        <v>275</v>
      </c>
      <c r="N167" s="140" t="s">
        <v>1577</v>
      </c>
      <c r="O167" s="106">
        <v>83534.5</v>
      </c>
      <c r="P167" s="106">
        <f t="shared" si="2"/>
        <v>8.2814674846236507</v>
      </c>
      <c r="Q167" s="106">
        <v>1666.5751906429314</v>
      </c>
    </row>
    <row r="168" spans="1:17" ht="35.25" x14ac:dyDescent="0.5">
      <c r="A168" s="6">
        <v>1</v>
      </c>
      <c r="B168" s="92">
        <f>SUBTOTAL(103,$A$65:A168)</f>
        <v>90</v>
      </c>
      <c r="C168" s="141" t="s">
        <v>1527</v>
      </c>
      <c r="D168" s="137">
        <v>1977</v>
      </c>
      <c r="E168" s="137"/>
      <c r="F168" s="138" t="s">
        <v>273</v>
      </c>
      <c r="G168" s="137">
        <v>5</v>
      </c>
      <c r="H168" s="137">
        <v>8</v>
      </c>
      <c r="I168" s="106">
        <v>5885.7</v>
      </c>
      <c r="J168" s="106">
        <v>4756.5</v>
      </c>
      <c r="K168" s="106">
        <v>4668.3</v>
      </c>
      <c r="L168" s="139">
        <v>210</v>
      </c>
      <c r="M168" s="137" t="s">
        <v>275</v>
      </c>
      <c r="N168" s="140" t="s">
        <v>1578</v>
      </c>
      <c r="O168" s="106">
        <v>1905014.93</v>
      </c>
      <c r="P168" s="106">
        <f t="shared" si="2"/>
        <v>323.66837079701651</v>
      </c>
      <c r="Q168" s="106">
        <v>2014.2289039536506</v>
      </c>
    </row>
    <row r="169" spans="1:17" ht="35.25" x14ac:dyDescent="0.5">
      <c r="B169" s="136" t="s">
        <v>909</v>
      </c>
      <c r="C169" s="141"/>
      <c r="D169" s="137" t="s">
        <v>776</v>
      </c>
      <c r="E169" s="137" t="s">
        <v>776</v>
      </c>
      <c r="F169" s="138" t="s">
        <v>776</v>
      </c>
      <c r="G169" s="137" t="s">
        <v>776</v>
      </c>
      <c r="H169" s="137" t="s">
        <v>776</v>
      </c>
      <c r="I169" s="106">
        <f>I170+I171</f>
        <v>2614.9</v>
      </c>
      <c r="J169" s="106">
        <f>J170+J171</f>
        <v>2360.9</v>
      </c>
      <c r="K169" s="106">
        <f>K170+K171</f>
        <v>1813.1</v>
      </c>
      <c r="L169" s="139">
        <f>L170+L171</f>
        <v>148</v>
      </c>
      <c r="M169" s="137" t="s">
        <v>916</v>
      </c>
      <c r="N169" s="137" t="s">
        <v>916</v>
      </c>
      <c r="O169" s="106">
        <v>582142.44999999995</v>
      </c>
      <c r="P169" s="106">
        <f t="shared" si="2"/>
        <v>222.62512906803317</v>
      </c>
      <c r="Q169" s="106">
        <f>MAX(Q170:Q171)</f>
        <v>5488.5448969696972</v>
      </c>
    </row>
    <row r="170" spans="1:17" ht="35.25" x14ac:dyDescent="0.5">
      <c r="A170" s="6">
        <v>1</v>
      </c>
      <c r="B170" s="92">
        <f>SUBTOTAL(103,$A$65:A170)</f>
        <v>91</v>
      </c>
      <c r="C170" s="141" t="s">
        <v>1528</v>
      </c>
      <c r="D170" s="137">
        <v>1961</v>
      </c>
      <c r="E170" s="137"/>
      <c r="F170" s="138" t="s">
        <v>273</v>
      </c>
      <c r="G170" s="137">
        <v>2</v>
      </c>
      <c r="H170" s="137">
        <v>3</v>
      </c>
      <c r="I170" s="106">
        <v>825</v>
      </c>
      <c r="J170" s="106">
        <v>769.5</v>
      </c>
      <c r="K170" s="106">
        <v>628.1</v>
      </c>
      <c r="L170" s="139">
        <v>57</v>
      </c>
      <c r="M170" s="137" t="s">
        <v>275</v>
      </c>
      <c r="N170" s="140" t="s">
        <v>1579</v>
      </c>
      <c r="O170" s="106">
        <v>551387.0199999999</v>
      </c>
      <c r="P170" s="106">
        <f t="shared" si="2"/>
        <v>668.34790303030286</v>
      </c>
      <c r="Q170" s="106">
        <v>5488.5448969696972</v>
      </c>
    </row>
    <row r="171" spans="1:17" ht="35.25" x14ac:dyDescent="0.5">
      <c r="A171" s="6">
        <v>1</v>
      </c>
      <c r="B171" s="92">
        <f>SUBTOTAL(103,$A$65:A171)</f>
        <v>92</v>
      </c>
      <c r="C171" s="141" t="s">
        <v>1529</v>
      </c>
      <c r="D171" s="137">
        <v>1985</v>
      </c>
      <c r="E171" s="137"/>
      <c r="F171" s="138" t="s">
        <v>273</v>
      </c>
      <c r="G171" s="137">
        <v>4</v>
      </c>
      <c r="H171" s="137">
        <v>2</v>
      </c>
      <c r="I171" s="106">
        <v>1789.9</v>
      </c>
      <c r="J171" s="106">
        <v>1591.4</v>
      </c>
      <c r="K171" s="106">
        <v>1185</v>
      </c>
      <c r="L171" s="139">
        <v>91</v>
      </c>
      <c r="M171" s="137" t="s">
        <v>275</v>
      </c>
      <c r="N171" s="140" t="s">
        <v>1579</v>
      </c>
      <c r="O171" s="106">
        <v>30755.429999999997</v>
      </c>
      <c r="P171" s="106">
        <f t="shared" si="2"/>
        <v>17.182764400245819</v>
      </c>
      <c r="Q171" s="106">
        <v>2377.1131057600978</v>
      </c>
    </row>
    <row r="172" spans="1:17" ht="35.25" x14ac:dyDescent="0.5">
      <c r="B172" s="136" t="s">
        <v>882</v>
      </c>
      <c r="C172" s="141"/>
      <c r="D172" s="137" t="s">
        <v>776</v>
      </c>
      <c r="E172" s="137" t="s">
        <v>776</v>
      </c>
      <c r="F172" s="138" t="s">
        <v>776</v>
      </c>
      <c r="G172" s="137" t="s">
        <v>776</v>
      </c>
      <c r="H172" s="137" t="s">
        <v>776</v>
      </c>
      <c r="I172" s="106">
        <f>I173</f>
        <v>677.1</v>
      </c>
      <c r="J172" s="106">
        <f>J173</f>
        <v>618.1</v>
      </c>
      <c r="K172" s="106">
        <f>K173</f>
        <v>363.3</v>
      </c>
      <c r="L172" s="139">
        <f>L173</f>
        <v>37</v>
      </c>
      <c r="M172" s="137" t="s">
        <v>916</v>
      </c>
      <c r="N172" s="137" t="s">
        <v>916</v>
      </c>
      <c r="O172" s="106">
        <v>39585</v>
      </c>
      <c r="P172" s="106">
        <f t="shared" si="2"/>
        <v>58.462560921577314</v>
      </c>
      <c r="Q172" s="106">
        <f>Q173</f>
        <v>4857.0820262885836</v>
      </c>
    </row>
    <row r="173" spans="1:17" ht="35.25" x14ac:dyDescent="0.5">
      <c r="A173" s="6">
        <v>1</v>
      </c>
      <c r="B173" s="92">
        <f>SUBTOTAL(103,$A$65:A173)</f>
        <v>93</v>
      </c>
      <c r="C173" s="141" t="s">
        <v>1530</v>
      </c>
      <c r="D173" s="137">
        <v>1991</v>
      </c>
      <c r="E173" s="137"/>
      <c r="F173" s="138" t="s">
        <v>319</v>
      </c>
      <c r="G173" s="137">
        <v>2</v>
      </c>
      <c r="H173" s="137">
        <v>2</v>
      </c>
      <c r="I173" s="106">
        <v>677.1</v>
      </c>
      <c r="J173" s="106">
        <v>618.1</v>
      </c>
      <c r="K173" s="106">
        <v>363.3</v>
      </c>
      <c r="L173" s="139">
        <v>37</v>
      </c>
      <c r="M173" s="137" t="s">
        <v>272</v>
      </c>
      <c r="N173" s="140" t="s">
        <v>274</v>
      </c>
      <c r="O173" s="106">
        <v>39585</v>
      </c>
      <c r="P173" s="106">
        <f t="shared" si="2"/>
        <v>58.462560921577314</v>
      </c>
      <c r="Q173" s="106">
        <v>4857.0820262885836</v>
      </c>
    </row>
    <row r="174" spans="1:17" ht="35.25" x14ac:dyDescent="0.5">
      <c r="B174" s="136" t="s">
        <v>850</v>
      </c>
      <c r="C174" s="141"/>
      <c r="D174" s="137" t="s">
        <v>776</v>
      </c>
      <c r="E174" s="137" t="s">
        <v>776</v>
      </c>
      <c r="F174" s="138" t="s">
        <v>776</v>
      </c>
      <c r="G174" s="137" t="s">
        <v>776</v>
      </c>
      <c r="H174" s="137" t="s">
        <v>776</v>
      </c>
      <c r="I174" s="106">
        <f>I175</f>
        <v>805.6</v>
      </c>
      <c r="J174" s="106">
        <f>J175</f>
        <v>744.2</v>
      </c>
      <c r="K174" s="106">
        <f>K175</f>
        <v>701.4</v>
      </c>
      <c r="L174" s="139">
        <f>L175</f>
        <v>44</v>
      </c>
      <c r="M174" s="137" t="s">
        <v>916</v>
      </c>
      <c r="N174" s="137" t="s">
        <v>916</v>
      </c>
      <c r="O174" s="106">
        <v>275468.56</v>
      </c>
      <c r="P174" s="106">
        <f t="shared" si="2"/>
        <v>341.94210526315788</v>
      </c>
      <c r="Q174" s="106">
        <f>Q175</f>
        <v>5313.0408142999004</v>
      </c>
    </row>
    <row r="175" spans="1:17" ht="35.25" x14ac:dyDescent="0.5">
      <c r="A175" s="6">
        <v>1</v>
      </c>
      <c r="B175" s="92">
        <f>SUBTOTAL(103,$A$65:A175)</f>
        <v>94</v>
      </c>
      <c r="C175" s="141" t="s">
        <v>1531</v>
      </c>
      <c r="D175" s="137">
        <v>1969</v>
      </c>
      <c r="E175" s="137"/>
      <c r="F175" s="138" t="s">
        <v>273</v>
      </c>
      <c r="G175" s="137">
        <v>2</v>
      </c>
      <c r="H175" s="137">
        <v>2</v>
      </c>
      <c r="I175" s="106">
        <v>805.6</v>
      </c>
      <c r="J175" s="106">
        <v>744.2</v>
      </c>
      <c r="K175" s="106">
        <v>701.4</v>
      </c>
      <c r="L175" s="139">
        <v>44</v>
      </c>
      <c r="M175" s="137" t="s">
        <v>272</v>
      </c>
      <c r="N175" s="140" t="s">
        <v>274</v>
      </c>
      <c r="O175" s="106">
        <v>275468.56</v>
      </c>
      <c r="P175" s="106">
        <f t="shared" si="2"/>
        <v>341.94210526315788</v>
      </c>
      <c r="Q175" s="106">
        <v>5313.0408142999004</v>
      </c>
    </row>
    <row r="176" spans="1:17" ht="35.25" x14ac:dyDescent="0.5">
      <c r="B176" s="136" t="s">
        <v>877</v>
      </c>
      <c r="C176" s="141"/>
      <c r="D176" s="137" t="s">
        <v>776</v>
      </c>
      <c r="E176" s="137" t="s">
        <v>776</v>
      </c>
      <c r="F176" s="138" t="s">
        <v>776</v>
      </c>
      <c r="G176" s="137" t="s">
        <v>776</v>
      </c>
      <c r="H176" s="137" t="s">
        <v>776</v>
      </c>
      <c r="I176" s="106">
        <f>I177+I178+I179</f>
        <v>12931.86</v>
      </c>
      <c r="J176" s="106">
        <f>J177+J178+J179</f>
        <v>8229.4599999999991</v>
      </c>
      <c r="K176" s="106">
        <f>K177+K178+K179</f>
        <v>6014.5399999999991</v>
      </c>
      <c r="L176" s="139">
        <f>L177+L178+L179</f>
        <v>621</v>
      </c>
      <c r="M176" s="137" t="s">
        <v>916</v>
      </c>
      <c r="N176" s="137" t="s">
        <v>916</v>
      </c>
      <c r="O176" s="106">
        <v>274179.65000000002</v>
      </c>
      <c r="P176" s="106">
        <f t="shared" si="2"/>
        <v>21.201872739111003</v>
      </c>
      <c r="Q176" s="106">
        <f>MAX(Q177:Q179)</f>
        <v>5471.5835308859396</v>
      </c>
    </row>
    <row r="177" spans="1:17" ht="35.25" x14ac:dyDescent="0.5">
      <c r="A177" s="6">
        <v>1</v>
      </c>
      <c r="B177" s="92">
        <f>SUBTOTAL(103,$A$65:A177)</f>
        <v>95</v>
      </c>
      <c r="C177" s="141" t="s">
        <v>1532</v>
      </c>
      <c r="D177" s="137">
        <v>1984</v>
      </c>
      <c r="E177" s="137"/>
      <c r="F177" s="138" t="s">
        <v>319</v>
      </c>
      <c r="G177" s="137">
        <v>5</v>
      </c>
      <c r="H177" s="137">
        <v>6</v>
      </c>
      <c r="I177" s="106">
        <v>6737.77</v>
      </c>
      <c r="J177" s="106">
        <v>4669.7</v>
      </c>
      <c r="K177" s="106">
        <v>4492.3999999999996</v>
      </c>
      <c r="L177" s="139">
        <v>246</v>
      </c>
      <c r="M177" s="137" t="s">
        <v>275</v>
      </c>
      <c r="N177" s="140" t="s">
        <v>1387</v>
      </c>
      <c r="O177" s="106">
        <v>82303.180000000008</v>
      </c>
      <c r="P177" s="106">
        <f t="shared" si="2"/>
        <v>12.215195828887007</v>
      </c>
      <c r="Q177" s="106">
        <v>1117.4343861544696</v>
      </c>
    </row>
    <row r="178" spans="1:17" ht="35.25" x14ac:dyDescent="0.5">
      <c r="A178" s="6">
        <v>1</v>
      </c>
      <c r="B178" s="92">
        <f>SUBTOTAL(103,$A$65:A178)</f>
        <v>96</v>
      </c>
      <c r="C178" s="141" t="s">
        <v>1533</v>
      </c>
      <c r="D178" s="137">
        <v>1976</v>
      </c>
      <c r="E178" s="137"/>
      <c r="F178" s="138" t="s">
        <v>273</v>
      </c>
      <c r="G178" s="137">
        <v>2</v>
      </c>
      <c r="H178" s="137">
        <v>2</v>
      </c>
      <c r="I178" s="106">
        <v>590.55999999999995</v>
      </c>
      <c r="J178" s="106">
        <v>553.66</v>
      </c>
      <c r="K178" s="106">
        <v>414.9</v>
      </c>
      <c r="L178" s="139">
        <v>34</v>
      </c>
      <c r="M178" s="137" t="s">
        <v>275</v>
      </c>
      <c r="N178" s="140" t="s">
        <v>300</v>
      </c>
      <c r="O178" s="106">
        <v>13519.03</v>
      </c>
      <c r="P178" s="106">
        <f t="shared" si="2"/>
        <v>22.891882281224603</v>
      </c>
      <c r="Q178" s="106">
        <v>5471.5835308859396</v>
      </c>
    </row>
    <row r="179" spans="1:17" ht="35.25" x14ac:dyDescent="0.5">
      <c r="A179" s="6">
        <v>1</v>
      </c>
      <c r="B179" s="92">
        <f>SUBTOTAL(103,$A$65:A179)</f>
        <v>97</v>
      </c>
      <c r="C179" s="141" t="s">
        <v>1534</v>
      </c>
      <c r="D179" s="137">
        <v>1975</v>
      </c>
      <c r="E179" s="137">
        <v>2010</v>
      </c>
      <c r="F179" s="138" t="s">
        <v>273</v>
      </c>
      <c r="G179" s="137">
        <v>5</v>
      </c>
      <c r="H179" s="137">
        <v>1</v>
      </c>
      <c r="I179" s="106">
        <v>5603.53</v>
      </c>
      <c r="J179" s="106">
        <v>3006.1</v>
      </c>
      <c r="K179" s="106">
        <v>1107.24</v>
      </c>
      <c r="L179" s="139">
        <v>341</v>
      </c>
      <c r="M179" s="137" t="s">
        <v>272</v>
      </c>
      <c r="N179" s="140" t="s">
        <v>274</v>
      </c>
      <c r="O179" s="106">
        <v>178357.44</v>
      </c>
      <c r="P179" s="106">
        <f t="shared" si="2"/>
        <v>31.829478917753633</v>
      </c>
      <c r="Q179" s="106">
        <v>2753.19</v>
      </c>
    </row>
    <row r="180" spans="1:17" ht="35.25" x14ac:dyDescent="0.5">
      <c r="B180" s="136" t="s">
        <v>1321</v>
      </c>
      <c r="C180" s="141"/>
      <c r="D180" s="137" t="s">
        <v>776</v>
      </c>
      <c r="E180" s="137" t="s">
        <v>776</v>
      </c>
      <c r="F180" s="138" t="s">
        <v>776</v>
      </c>
      <c r="G180" s="137" t="s">
        <v>776</v>
      </c>
      <c r="H180" s="137" t="s">
        <v>776</v>
      </c>
      <c r="I180" s="106">
        <f>I181</f>
        <v>418.1</v>
      </c>
      <c r="J180" s="106">
        <f>J181</f>
        <v>377.6</v>
      </c>
      <c r="K180" s="106">
        <f>K181</f>
        <v>284.3</v>
      </c>
      <c r="L180" s="139">
        <f>L181</f>
        <v>12</v>
      </c>
      <c r="M180" s="137" t="s">
        <v>916</v>
      </c>
      <c r="N180" s="137" t="s">
        <v>916</v>
      </c>
      <c r="O180" s="106">
        <v>273035</v>
      </c>
      <c r="P180" s="106">
        <f t="shared" si="2"/>
        <v>653.03755082516136</v>
      </c>
      <c r="Q180" s="106">
        <f>Q181</f>
        <v>8391.721143027984</v>
      </c>
    </row>
    <row r="181" spans="1:17" ht="35.25" x14ac:dyDescent="0.5">
      <c r="A181" s="6">
        <v>1</v>
      </c>
      <c r="B181" s="92">
        <f>SUBTOTAL(103,$A$65:A181)</f>
        <v>98</v>
      </c>
      <c r="C181" s="141" t="s">
        <v>1535</v>
      </c>
      <c r="D181" s="137">
        <v>1987</v>
      </c>
      <c r="E181" s="137"/>
      <c r="F181" s="138" t="s">
        <v>273</v>
      </c>
      <c r="G181" s="137">
        <v>2</v>
      </c>
      <c r="H181" s="137">
        <v>2</v>
      </c>
      <c r="I181" s="106">
        <v>418.1</v>
      </c>
      <c r="J181" s="106">
        <v>377.6</v>
      </c>
      <c r="K181" s="106">
        <v>284.3</v>
      </c>
      <c r="L181" s="139">
        <v>12</v>
      </c>
      <c r="M181" s="137" t="s">
        <v>272</v>
      </c>
      <c r="N181" s="140" t="s">
        <v>274</v>
      </c>
      <c r="O181" s="106">
        <v>273035</v>
      </c>
      <c r="P181" s="106">
        <f t="shared" si="2"/>
        <v>653.03755082516136</v>
      </c>
      <c r="Q181" s="106">
        <v>8391.721143027984</v>
      </c>
    </row>
    <row r="182" spans="1:17" ht="35.25" x14ac:dyDescent="0.5">
      <c r="B182" s="136" t="s">
        <v>873</v>
      </c>
      <c r="C182" s="141"/>
      <c r="D182" s="137" t="s">
        <v>776</v>
      </c>
      <c r="E182" s="137" t="s">
        <v>776</v>
      </c>
      <c r="F182" s="138" t="s">
        <v>776</v>
      </c>
      <c r="G182" s="137" t="s">
        <v>776</v>
      </c>
      <c r="H182" s="137" t="s">
        <v>776</v>
      </c>
      <c r="I182" s="106">
        <f>I183</f>
        <v>344.6</v>
      </c>
      <c r="J182" s="106">
        <f>J183</f>
        <v>312.2</v>
      </c>
      <c r="K182" s="106">
        <f>K183</f>
        <v>312.2</v>
      </c>
      <c r="L182" s="139">
        <f>L183</f>
        <v>15</v>
      </c>
      <c r="M182" s="137" t="s">
        <v>916</v>
      </c>
      <c r="N182" s="137" t="s">
        <v>916</v>
      </c>
      <c r="O182" s="106">
        <v>237510</v>
      </c>
      <c r="P182" s="106">
        <f t="shared" si="2"/>
        <v>689.23389437028436</v>
      </c>
      <c r="Q182" s="106">
        <f>Q183</f>
        <v>7736.2705142193836</v>
      </c>
    </row>
    <row r="183" spans="1:17" ht="35.25" x14ac:dyDescent="0.5">
      <c r="A183" s="6">
        <v>1</v>
      </c>
      <c r="B183" s="92">
        <f>SUBTOTAL(103,$A$65:A183)</f>
        <v>99</v>
      </c>
      <c r="C183" s="141" t="s">
        <v>1536</v>
      </c>
      <c r="D183" s="137">
        <v>1975</v>
      </c>
      <c r="E183" s="137"/>
      <c r="F183" s="138" t="s">
        <v>273</v>
      </c>
      <c r="G183" s="137">
        <v>2</v>
      </c>
      <c r="H183" s="137">
        <v>1</v>
      </c>
      <c r="I183" s="106">
        <v>344.6</v>
      </c>
      <c r="J183" s="106">
        <v>312.2</v>
      </c>
      <c r="K183" s="106">
        <v>312.2</v>
      </c>
      <c r="L183" s="139">
        <v>15</v>
      </c>
      <c r="M183" s="137" t="s">
        <v>272</v>
      </c>
      <c r="N183" s="140" t="s">
        <v>274</v>
      </c>
      <c r="O183" s="106">
        <v>237510</v>
      </c>
      <c r="P183" s="106">
        <f t="shared" si="2"/>
        <v>689.23389437028436</v>
      </c>
      <c r="Q183" s="106">
        <v>7736.2705142193836</v>
      </c>
    </row>
    <row r="184" spans="1:17" ht="35.25" x14ac:dyDescent="0.5">
      <c r="B184" s="136" t="s">
        <v>861</v>
      </c>
      <c r="C184" s="141"/>
      <c r="D184" s="137" t="s">
        <v>776</v>
      </c>
      <c r="E184" s="137" t="s">
        <v>776</v>
      </c>
      <c r="F184" s="138" t="s">
        <v>776</v>
      </c>
      <c r="G184" s="137" t="s">
        <v>776</v>
      </c>
      <c r="H184" s="137" t="s">
        <v>776</v>
      </c>
      <c r="I184" s="106">
        <f>I185</f>
        <v>3508.9</v>
      </c>
      <c r="J184" s="106">
        <f>J185</f>
        <v>3167.7</v>
      </c>
      <c r="K184" s="106">
        <f>K185</f>
        <v>2665.2</v>
      </c>
      <c r="L184" s="139">
        <f>L185</f>
        <v>145</v>
      </c>
      <c r="M184" s="137" t="s">
        <v>916</v>
      </c>
      <c r="N184" s="137" t="s">
        <v>916</v>
      </c>
      <c r="O184" s="106">
        <v>1114586.8</v>
      </c>
      <c r="P184" s="106">
        <f t="shared" si="2"/>
        <v>317.64564393399644</v>
      </c>
      <c r="Q184" s="106">
        <f>Q185</f>
        <v>689.15728575906974</v>
      </c>
    </row>
    <row r="185" spans="1:17" ht="35.25" x14ac:dyDescent="0.5">
      <c r="A185" s="6">
        <v>1</v>
      </c>
      <c r="B185" s="92">
        <f>SUBTOTAL(103,$A$65:A185)</f>
        <v>100</v>
      </c>
      <c r="C185" s="141" t="s">
        <v>1537</v>
      </c>
      <c r="D185" s="137">
        <v>1987</v>
      </c>
      <c r="E185" s="137"/>
      <c r="F185" s="138" t="s">
        <v>319</v>
      </c>
      <c r="G185" s="137">
        <v>5</v>
      </c>
      <c r="H185" s="137">
        <v>4</v>
      </c>
      <c r="I185" s="106">
        <v>3508.9</v>
      </c>
      <c r="J185" s="106">
        <v>3167.7</v>
      </c>
      <c r="K185" s="106">
        <v>2665.2</v>
      </c>
      <c r="L185" s="139">
        <v>145</v>
      </c>
      <c r="M185" s="137" t="s">
        <v>272</v>
      </c>
      <c r="N185" s="140" t="s">
        <v>274</v>
      </c>
      <c r="O185" s="106">
        <v>1114586.8</v>
      </c>
      <c r="P185" s="106">
        <f t="shared" si="2"/>
        <v>317.64564393399644</v>
      </c>
      <c r="Q185" s="106">
        <v>689.15728575906974</v>
      </c>
    </row>
    <row r="186" spans="1:17" ht="35.25" x14ac:dyDescent="0.5">
      <c r="B186" s="136" t="s">
        <v>866</v>
      </c>
      <c r="C186" s="141"/>
      <c r="D186" s="137" t="s">
        <v>776</v>
      </c>
      <c r="E186" s="137" t="s">
        <v>776</v>
      </c>
      <c r="F186" s="138" t="s">
        <v>776</v>
      </c>
      <c r="G186" s="137" t="s">
        <v>776</v>
      </c>
      <c r="H186" s="137" t="s">
        <v>776</v>
      </c>
      <c r="I186" s="106">
        <f>I187</f>
        <v>719.4</v>
      </c>
      <c r="J186" s="106">
        <f>J187</f>
        <v>531.6</v>
      </c>
      <c r="K186" s="106">
        <f>K187</f>
        <v>471.6</v>
      </c>
      <c r="L186" s="139">
        <f>L187</f>
        <v>30</v>
      </c>
      <c r="M186" s="137" t="s">
        <v>916</v>
      </c>
      <c r="N186" s="137" t="s">
        <v>916</v>
      </c>
      <c r="O186" s="106">
        <v>40586.949999999997</v>
      </c>
      <c r="P186" s="106">
        <f t="shared" si="2"/>
        <v>56.41777870447595</v>
      </c>
      <c r="Q186" s="106">
        <f>Q187</f>
        <v>5470.6623019182653</v>
      </c>
    </row>
    <row r="187" spans="1:17" ht="35.25" x14ac:dyDescent="0.5">
      <c r="A187" s="6">
        <v>1</v>
      </c>
      <c r="B187" s="92">
        <f>SUBTOTAL(103,$A$65:A187)</f>
        <v>101</v>
      </c>
      <c r="C187" s="141" t="s">
        <v>1538</v>
      </c>
      <c r="D187" s="137">
        <v>1975</v>
      </c>
      <c r="E187" s="137"/>
      <c r="F187" s="138" t="s">
        <v>273</v>
      </c>
      <c r="G187" s="137">
        <v>2</v>
      </c>
      <c r="H187" s="137">
        <v>2</v>
      </c>
      <c r="I187" s="106">
        <v>719.4</v>
      </c>
      <c r="J187" s="106">
        <v>531.6</v>
      </c>
      <c r="K187" s="106">
        <v>471.6</v>
      </c>
      <c r="L187" s="139">
        <v>30</v>
      </c>
      <c r="M187" s="137" t="s">
        <v>272</v>
      </c>
      <c r="N187" s="140" t="s">
        <v>274</v>
      </c>
      <c r="O187" s="106">
        <v>40586.949999999997</v>
      </c>
      <c r="P187" s="106">
        <f t="shared" si="2"/>
        <v>56.41777870447595</v>
      </c>
      <c r="Q187" s="106">
        <v>5470.6623019182653</v>
      </c>
    </row>
    <row r="188" spans="1:17" ht="35.25" x14ac:dyDescent="0.5">
      <c r="B188" s="136" t="s">
        <v>881</v>
      </c>
      <c r="C188" s="141"/>
      <c r="D188" s="137" t="s">
        <v>776</v>
      </c>
      <c r="E188" s="137" t="s">
        <v>776</v>
      </c>
      <c r="F188" s="138" t="s">
        <v>776</v>
      </c>
      <c r="G188" s="137" t="s">
        <v>776</v>
      </c>
      <c r="H188" s="137" t="s">
        <v>776</v>
      </c>
      <c r="I188" s="106">
        <f>I189</f>
        <v>930</v>
      </c>
      <c r="J188" s="106">
        <f>J189</f>
        <v>857.4</v>
      </c>
      <c r="K188" s="106">
        <f>K189</f>
        <v>561.4</v>
      </c>
      <c r="L188" s="139">
        <f>L189</f>
        <v>45</v>
      </c>
      <c r="M188" s="137" t="s">
        <v>916</v>
      </c>
      <c r="N188" s="137" t="s">
        <v>916</v>
      </c>
      <c r="O188" s="106">
        <v>39622.869999999995</v>
      </c>
      <c r="P188" s="106">
        <f t="shared" si="2"/>
        <v>42.605236559139783</v>
      </c>
      <c r="Q188" s="106">
        <f>Q189</f>
        <v>4953.3769032258069</v>
      </c>
    </row>
    <row r="189" spans="1:17" ht="35.25" x14ac:dyDescent="0.5">
      <c r="A189" s="6">
        <v>1</v>
      </c>
      <c r="B189" s="92">
        <f>SUBTOTAL(103,$A$65:A189)</f>
        <v>102</v>
      </c>
      <c r="C189" s="141" t="s">
        <v>1539</v>
      </c>
      <c r="D189" s="137">
        <v>1973</v>
      </c>
      <c r="E189" s="137"/>
      <c r="F189" s="138" t="s">
        <v>273</v>
      </c>
      <c r="G189" s="137">
        <v>2</v>
      </c>
      <c r="H189" s="137">
        <v>3</v>
      </c>
      <c r="I189" s="106">
        <v>930</v>
      </c>
      <c r="J189" s="106">
        <v>857.4</v>
      </c>
      <c r="K189" s="106">
        <v>561.4</v>
      </c>
      <c r="L189" s="139">
        <v>45</v>
      </c>
      <c r="M189" s="137" t="s">
        <v>275</v>
      </c>
      <c r="N189" s="140" t="s">
        <v>286</v>
      </c>
      <c r="O189" s="106">
        <v>39622.869999999995</v>
      </c>
      <c r="P189" s="106">
        <f t="shared" si="2"/>
        <v>42.605236559139783</v>
      </c>
      <c r="Q189" s="106">
        <v>4953.3769032258069</v>
      </c>
    </row>
    <row r="190" spans="1:17" ht="35.25" x14ac:dyDescent="0.5">
      <c r="B190" s="136" t="s">
        <v>859</v>
      </c>
      <c r="C190" s="141"/>
      <c r="D190" s="137" t="s">
        <v>776</v>
      </c>
      <c r="E190" s="137" t="s">
        <v>776</v>
      </c>
      <c r="F190" s="138" t="s">
        <v>776</v>
      </c>
      <c r="G190" s="137" t="s">
        <v>776</v>
      </c>
      <c r="H190" s="137" t="s">
        <v>776</v>
      </c>
      <c r="I190" s="106">
        <f>I191</f>
        <v>3791.9</v>
      </c>
      <c r="J190" s="106">
        <f>J191</f>
        <v>3527</v>
      </c>
      <c r="K190" s="106">
        <f>K191</f>
        <v>3291.3</v>
      </c>
      <c r="L190" s="139">
        <f>L191</f>
        <v>155</v>
      </c>
      <c r="M190" s="137" t="s">
        <v>916</v>
      </c>
      <c r="N190" s="137" t="s">
        <v>916</v>
      </c>
      <c r="O190" s="106">
        <v>8028.65</v>
      </c>
      <c r="P190" s="106">
        <f t="shared" si="2"/>
        <v>2.1173158574856932</v>
      </c>
      <c r="Q190" s="106">
        <f>Q191</f>
        <v>1564.9736374904403</v>
      </c>
    </row>
    <row r="191" spans="1:17" ht="35.25" x14ac:dyDescent="0.5">
      <c r="A191" s="6">
        <v>1</v>
      </c>
      <c r="B191" s="92">
        <f>SUBTOTAL(103,$A$65:A191)</f>
        <v>103</v>
      </c>
      <c r="C191" s="141" t="s">
        <v>1547</v>
      </c>
      <c r="D191" s="137">
        <v>1973</v>
      </c>
      <c r="E191" s="137" t="s">
        <v>1580</v>
      </c>
      <c r="F191" s="138" t="s">
        <v>319</v>
      </c>
      <c r="G191" s="137">
        <v>5</v>
      </c>
      <c r="H191" s="137">
        <v>4</v>
      </c>
      <c r="I191" s="106">
        <v>3791.9</v>
      </c>
      <c r="J191" s="106">
        <v>3527</v>
      </c>
      <c r="K191" s="106">
        <v>3291.3</v>
      </c>
      <c r="L191" s="139">
        <v>155</v>
      </c>
      <c r="M191" s="137" t="s">
        <v>275</v>
      </c>
      <c r="N191" s="140" t="s">
        <v>835</v>
      </c>
      <c r="O191" s="106">
        <v>8028.65</v>
      </c>
      <c r="P191" s="106">
        <f t="shared" si="2"/>
        <v>2.1173158574856932</v>
      </c>
      <c r="Q191" s="106">
        <v>1564.9736374904403</v>
      </c>
    </row>
    <row r="192" spans="1:17" ht="35.25" x14ac:dyDescent="0.5">
      <c r="B192" s="136" t="s">
        <v>864</v>
      </c>
      <c r="C192" s="141"/>
      <c r="D192" s="137" t="s">
        <v>776</v>
      </c>
      <c r="E192" s="137" t="s">
        <v>776</v>
      </c>
      <c r="F192" s="138" t="s">
        <v>776</v>
      </c>
      <c r="G192" s="137" t="s">
        <v>776</v>
      </c>
      <c r="H192" s="137" t="s">
        <v>776</v>
      </c>
      <c r="I192" s="106">
        <f>I193+I194</f>
        <v>1000</v>
      </c>
      <c r="J192" s="106">
        <f>J193+J194</f>
        <v>897</v>
      </c>
      <c r="K192" s="106">
        <f>K193+K194</f>
        <v>578</v>
      </c>
      <c r="L192" s="139">
        <f>L193+L194</f>
        <v>54</v>
      </c>
      <c r="M192" s="137" t="s">
        <v>916</v>
      </c>
      <c r="N192" s="137" t="s">
        <v>916</v>
      </c>
      <c r="O192" s="106">
        <v>180508.62</v>
      </c>
      <c r="P192" s="106">
        <f t="shared" si="2"/>
        <v>180.50862000000001</v>
      </c>
      <c r="Q192" s="106">
        <f>MAX(Q193:Q194)</f>
        <v>5766.4387692307691</v>
      </c>
    </row>
    <row r="193" spans="1:17" ht="35.25" x14ac:dyDescent="0.5">
      <c r="A193" s="6">
        <v>1</v>
      </c>
      <c r="B193" s="92">
        <f>SUBTOTAL(103,$A$65:A193)</f>
        <v>104</v>
      </c>
      <c r="C193" s="141" t="s">
        <v>1548</v>
      </c>
      <c r="D193" s="137">
        <v>1967</v>
      </c>
      <c r="E193" s="137"/>
      <c r="F193" s="138" t="s">
        <v>273</v>
      </c>
      <c r="G193" s="137">
        <v>2</v>
      </c>
      <c r="H193" s="137">
        <v>2</v>
      </c>
      <c r="I193" s="106">
        <v>610</v>
      </c>
      <c r="J193" s="106">
        <v>558</v>
      </c>
      <c r="K193" s="106">
        <v>380.7</v>
      </c>
      <c r="L193" s="139">
        <v>33</v>
      </c>
      <c r="M193" s="137" t="s">
        <v>272</v>
      </c>
      <c r="N193" s="140" t="s">
        <v>274</v>
      </c>
      <c r="O193" s="106">
        <v>103408.2</v>
      </c>
      <c r="P193" s="106">
        <f>O193/I193</f>
        <v>169.5216393442623</v>
      </c>
      <c r="Q193" s="106">
        <v>5718.4105245901637</v>
      </c>
    </row>
    <row r="194" spans="1:17" ht="35.25" x14ac:dyDescent="0.5">
      <c r="A194" s="6">
        <v>1</v>
      </c>
      <c r="B194" s="92">
        <f>SUBTOTAL(103,$A$65:A194)</f>
        <v>105</v>
      </c>
      <c r="C194" s="141" t="s">
        <v>1549</v>
      </c>
      <c r="D194" s="137">
        <v>1965</v>
      </c>
      <c r="E194" s="137"/>
      <c r="F194" s="138" t="s">
        <v>273</v>
      </c>
      <c r="G194" s="137">
        <v>2</v>
      </c>
      <c r="H194" s="137">
        <v>2</v>
      </c>
      <c r="I194" s="106">
        <v>390</v>
      </c>
      <c r="J194" s="106">
        <v>339</v>
      </c>
      <c r="K194" s="106">
        <v>197.3</v>
      </c>
      <c r="L194" s="139">
        <v>21</v>
      </c>
      <c r="M194" s="137" t="s">
        <v>272</v>
      </c>
      <c r="N194" s="140" t="s">
        <v>274</v>
      </c>
      <c r="O194" s="106">
        <v>77100.42</v>
      </c>
      <c r="P194" s="106">
        <f>O194/I194</f>
        <v>197.69338461538462</v>
      </c>
      <c r="Q194" s="106">
        <v>5766.4387692307691</v>
      </c>
    </row>
    <row r="195" spans="1:17" ht="35.25" x14ac:dyDescent="0.5">
      <c r="B195" s="136" t="s">
        <v>1075</v>
      </c>
      <c r="C195" s="141"/>
      <c r="D195" s="137" t="s">
        <v>776</v>
      </c>
      <c r="E195" s="137" t="s">
        <v>776</v>
      </c>
      <c r="F195" s="138" t="s">
        <v>776</v>
      </c>
      <c r="G195" s="137" t="s">
        <v>776</v>
      </c>
      <c r="H195" s="137" t="s">
        <v>776</v>
      </c>
      <c r="I195" s="106">
        <f>I196</f>
        <v>1707.6</v>
      </c>
      <c r="J195" s="106">
        <f>J196</f>
        <v>1346.4</v>
      </c>
      <c r="K195" s="106">
        <f>K196</f>
        <v>1242.0999999999999</v>
      </c>
      <c r="L195" s="139">
        <f>L196</f>
        <v>83</v>
      </c>
      <c r="M195" s="137" t="s">
        <v>776</v>
      </c>
      <c r="N195" s="137"/>
      <c r="O195" s="106">
        <v>10150</v>
      </c>
      <c r="P195" s="106">
        <f>O195/I195</f>
        <v>5.9440149918013585</v>
      </c>
      <c r="Q195" s="106">
        <f>Q196</f>
        <v>1313.71</v>
      </c>
    </row>
    <row r="196" spans="1:17" ht="35.25" x14ac:dyDescent="0.5">
      <c r="A196" s="6">
        <v>1</v>
      </c>
      <c r="B196" s="92">
        <f>SUBTOTAL(103,$A$65:A196)</f>
        <v>106</v>
      </c>
      <c r="C196" s="141" t="s">
        <v>1646</v>
      </c>
      <c r="D196" s="137">
        <v>1985</v>
      </c>
      <c r="E196" s="137"/>
      <c r="F196" s="138" t="s">
        <v>273</v>
      </c>
      <c r="G196" s="137">
        <v>5</v>
      </c>
      <c r="H196" s="137">
        <v>1</v>
      </c>
      <c r="I196" s="106">
        <v>1707.6</v>
      </c>
      <c r="J196" s="106">
        <v>1346.4</v>
      </c>
      <c r="K196" s="106">
        <v>1242.0999999999999</v>
      </c>
      <c r="L196" s="139">
        <v>83</v>
      </c>
      <c r="M196" s="137" t="s">
        <v>275</v>
      </c>
      <c r="N196" s="140" t="s">
        <v>1651</v>
      </c>
      <c r="O196" s="106">
        <v>10150</v>
      </c>
      <c r="P196" s="106">
        <f>O196/I196</f>
        <v>5.9440149918013585</v>
      </c>
      <c r="Q196" s="106">
        <v>1313.71</v>
      </c>
    </row>
    <row r="203" spans="1:17" ht="33" x14ac:dyDescent="0.45">
      <c r="C203" s="143"/>
    </row>
  </sheetData>
  <autoFilter ref="A10:Q195" xr:uid="{14A5C899-9097-480A-A67A-412FB0FEC854}"/>
  <mergeCells count="23">
    <mergeCell ref="O4:O6"/>
    <mergeCell ref="P4:P6"/>
    <mergeCell ref="Q4:Q6"/>
    <mergeCell ref="D5:D7"/>
    <mergeCell ref="E5:E7"/>
    <mergeCell ref="J5:J6"/>
    <mergeCell ref="K5:K6"/>
    <mergeCell ref="B62:Q62"/>
    <mergeCell ref="O1:Q1"/>
    <mergeCell ref="N2:Q2"/>
    <mergeCell ref="B3:Q3"/>
    <mergeCell ref="B4:B7"/>
    <mergeCell ref="C4:C7"/>
    <mergeCell ref="D4:E4"/>
    <mergeCell ref="F4:F7"/>
    <mergeCell ref="G4:G7"/>
    <mergeCell ref="H4:H7"/>
    <mergeCell ref="I4:I6"/>
    <mergeCell ref="B9:Q9"/>
    <mergeCell ref="J4:K4"/>
    <mergeCell ref="L4:L6"/>
    <mergeCell ref="M4:M7"/>
    <mergeCell ref="N4:N7"/>
  </mergeCells>
  <pageMargins left="0" right="0" top="0" bottom="0" header="0" footer="0"/>
  <pageSetup paperSize="9" scale="1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56"/>
  <sheetViews>
    <sheetView zoomScale="60" zoomScaleNormal="60" workbookViewId="0">
      <selection activeCell="F35" sqref="F35"/>
    </sheetView>
  </sheetViews>
  <sheetFormatPr defaultRowHeight="15" x14ac:dyDescent="0.25"/>
  <cols>
    <col min="1" max="1" width="12" customWidth="1"/>
    <col min="2" max="2" width="51.28515625" customWidth="1"/>
    <col min="3" max="3" width="22.140625" customWidth="1"/>
    <col min="4" max="4" width="38.85546875" customWidth="1"/>
    <col min="5" max="5" width="20.5703125" customWidth="1"/>
    <col min="6" max="6" width="25.28515625" customWidth="1"/>
  </cols>
  <sheetData>
    <row r="1" spans="1:6" ht="35.25" customHeight="1" x14ac:dyDescent="0.35">
      <c r="C1" s="46"/>
      <c r="D1" s="280" t="s">
        <v>1090</v>
      </c>
      <c r="E1" s="280"/>
      <c r="F1" s="280"/>
    </row>
    <row r="2" spans="1:6" ht="53.25" customHeight="1" x14ac:dyDescent="0.25">
      <c r="C2" s="282" t="s">
        <v>1080</v>
      </c>
      <c r="D2" s="282"/>
      <c r="E2" s="282"/>
      <c r="F2" s="282"/>
    </row>
    <row r="3" spans="1:6" ht="104.25" customHeight="1" x14ac:dyDescent="0.25">
      <c r="A3" s="283" t="s">
        <v>1091</v>
      </c>
      <c r="B3" s="283"/>
      <c r="C3" s="283"/>
      <c r="D3" s="283"/>
      <c r="E3" s="283"/>
      <c r="F3" s="283"/>
    </row>
    <row r="4" spans="1:6" x14ac:dyDescent="0.25">
      <c r="A4" s="284" t="s">
        <v>6</v>
      </c>
      <c r="B4" s="284" t="s">
        <v>768</v>
      </c>
      <c r="C4" s="281" t="s">
        <v>769</v>
      </c>
      <c r="D4" s="281" t="s">
        <v>1092</v>
      </c>
      <c r="E4" s="281" t="s">
        <v>771</v>
      </c>
      <c r="F4" s="281" t="s">
        <v>772</v>
      </c>
    </row>
    <row r="5" spans="1:6" ht="156.75" customHeight="1" x14ac:dyDescent="0.25">
      <c r="A5" s="285"/>
      <c r="B5" s="285"/>
      <c r="C5" s="286"/>
      <c r="D5" s="281"/>
      <c r="E5" s="281"/>
      <c r="F5" s="281"/>
    </row>
    <row r="6" spans="1:6" ht="23.25" x14ac:dyDescent="0.25">
      <c r="A6" s="285"/>
      <c r="B6" s="285"/>
      <c r="C6" s="47" t="s">
        <v>773</v>
      </c>
      <c r="D6" s="47" t="s">
        <v>269</v>
      </c>
      <c r="E6" s="47" t="s">
        <v>37</v>
      </c>
      <c r="F6" s="47" t="s">
        <v>36</v>
      </c>
    </row>
    <row r="7" spans="1:6" ht="23.25" x14ac:dyDescent="0.35">
      <c r="A7" s="48">
        <v>1</v>
      </c>
      <c r="B7" s="48">
        <v>2</v>
      </c>
      <c r="C7" s="48">
        <v>3</v>
      </c>
      <c r="D7" s="48">
        <v>4</v>
      </c>
      <c r="E7" s="49">
        <v>5</v>
      </c>
      <c r="F7" s="49">
        <v>6</v>
      </c>
    </row>
    <row r="8" spans="1:6" ht="74.25" customHeight="1" x14ac:dyDescent="0.25">
      <c r="A8" s="277" t="s">
        <v>1044</v>
      </c>
      <c r="B8" s="278"/>
      <c r="C8" s="278"/>
      <c r="D8" s="278"/>
      <c r="E8" s="278"/>
      <c r="F8" s="279"/>
    </row>
    <row r="9" spans="1:6" ht="23.25" x14ac:dyDescent="0.35">
      <c r="A9" s="48"/>
      <c r="B9" s="50" t="s">
        <v>1093</v>
      </c>
      <c r="C9" s="51">
        <f>SUM(C10:C27)</f>
        <v>30909.18</v>
      </c>
      <c r="D9" s="88">
        <f>SUM(D10:D27)</f>
        <v>1298</v>
      </c>
      <c r="E9" s="52">
        <f>SUM(E10:E27)</f>
        <v>33</v>
      </c>
      <c r="F9" s="51">
        <v>82971160.886453196</v>
      </c>
    </row>
    <row r="10" spans="1:6" ht="23.25" x14ac:dyDescent="0.35">
      <c r="A10" s="48">
        <v>1</v>
      </c>
      <c r="B10" s="53" t="s">
        <v>922</v>
      </c>
      <c r="C10" s="54">
        <v>792.7</v>
      </c>
      <c r="D10" s="52">
        <v>42</v>
      </c>
      <c r="E10" s="52">
        <v>1</v>
      </c>
      <c r="F10" s="55">
        <v>2320165.87</v>
      </c>
    </row>
    <row r="11" spans="1:6" ht="23.25" x14ac:dyDescent="0.35">
      <c r="A11" s="48">
        <v>2</v>
      </c>
      <c r="B11" s="53" t="s">
        <v>1391</v>
      </c>
      <c r="C11" s="54">
        <v>10686.5</v>
      </c>
      <c r="D11" s="52">
        <v>373</v>
      </c>
      <c r="E11" s="52">
        <v>8</v>
      </c>
      <c r="F11" s="55">
        <v>22023333.006305423</v>
      </c>
    </row>
    <row r="12" spans="1:6" ht="23.25" x14ac:dyDescent="0.35">
      <c r="A12" s="48">
        <v>3</v>
      </c>
      <c r="B12" s="53" t="s">
        <v>926</v>
      </c>
      <c r="C12" s="54">
        <v>882.3</v>
      </c>
      <c r="D12" s="52">
        <v>29</v>
      </c>
      <c r="E12" s="52">
        <v>1</v>
      </c>
      <c r="F12" s="55">
        <v>2206512.27</v>
      </c>
    </row>
    <row r="13" spans="1:6" ht="23.25" x14ac:dyDescent="0.35">
      <c r="A13" s="48">
        <v>4</v>
      </c>
      <c r="B13" s="53" t="s">
        <v>931</v>
      </c>
      <c r="C13" s="54">
        <v>1813.2</v>
      </c>
      <c r="D13" s="52">
        <v>156</v>
      </c>
      <c r="E13" s="52">
        <v>1</v>
      </c>
      <c r="F13" s="55">
        <v>6235729.1299999999</v>
      </c>
    </row>
    <row r="14" spans="1:6" ht="23.25" x14ac:dyDescent="0.35">
      <c r="A14" s="48">
        <v>5</v>
      </c>
      <c r="B14" s="53" t="s">
        <v>932</v>
      </c>
      <c r="C14" s="54">
        <v>366.5</v>
      </c>
      <c r="D14" s="52">
        <v>13</v>
      </c>
      <c r="E14" s="52">
        <v>1</v>
      </c>
      <c r="F14" s="55">
        <v>1375440</v>
      </c>
    </row>
    <row r="15" spans="1:6" ht="23.25" x14ac:dyDescent="0.35">
      <c r="A15" s="48">
        <v>6</v>
      </c>
      <c r="B15" s="53" t="s">
        <v>1392</v>
      </c>
      <c r="C15" s="54">
        <v>874.3</v>
      </c>
      <c r="D15" s="52">
        <v>38</v>
      </c>
      <c r="E15" s="52">
        <v>2</v>
      </c>
      <c r="F15" s="55">
        <v>3273930.5601477833</v>
      </c>
    </row>
    <row r="16" spans="1:6" ht="23.25" x14ac:dyDescent="0.35">
      <c r="A16" s="48">
        <v>7</v>
      </c>
      <c r="B16" s="53" t="s">
        <v>941</v>
      </c>
      <c r="C16" s="54">
        <v>845.48</v>
      </c>
      <c r="D16" s="52">
        <v>48</v>
      </c>
      <c r="E16" s="52">
        <v>2</v>
      </c>
      <c r="F16" s="55">
        <v>3465600.02</v>
      </c>
    </row>
    <row r="17" spans="1:6" ht="23.25" x14ac:dyDescent="0.35">
      <c r="A17" s="48">
        <v>8</v>
      </c>
      <c r="B17" s="53" t="s">
        <v>975</v>
      </c>
      <c r="C17" s="54">
        <v>2093.1</v>
      </c>
      <c r="D17" s="52">
        <v>110</v>
      </c>
      <c r="E17" s="52">
        <v>3</v>
      </c>
      <c r="F17" s="55">
        <v>5860829.3999999994</v>
      </c>
    </row>
    <row r="18" spans="1:6" ht="23.25" x14ac:dyDescent="0.35">
      <c r="A18" s="48">
        <v>9</v>
      </c>
      <c r="B18" s="53" t="s">
        <v>946</v>
      </c>
      <c r="C18" s="54">
        <v>755.8</v>
      </c>
      <c r="D18" s="52">
        <v>20</v>
      </c>
      <c r="E18" s="52">
        <v>1</v>
      </c>
      <c r="F18" s="55">
        <v>2154384</v>
      </c>
    </row>
    <row r="19" spans="1:6" ht="23.25" x14ac:dyDescent="0.35">
      <c r="A19" s="48">
        <v>10</v>
      </c>
      <c r="B19" s="53" t="s">
        <v>949</v>
      </c>
      <c r="C19" s="54">
        <v>1840.2</v>
      </c>
      <c r="D19" s="52">
        <v>77</v>
      </c>
      <c r="E19" s="52">
        <v>1</v>
      </c>
      <c r="F19" s="55">
        <v>5688174.9500000002</v>
      </c>
    </row>
    <row r="20" spans="1:6" ht="23.25" x14ac:dyDescent="0.35">
      <c r="A20" s="48">
        <v>11</v>
      </c>
      <c r="B20" s="53" t="s">
        <v>1393</v>
      </c>
      <c r="C20" s="54">
        <v>1542</v>
      </c>
      <c r="D20" s="52">
        <v>58</v>
      </c>
      <c r="E20" s="52">
        <v>3</v>
      </c>
      <c r="F20" s="55">
        <v>7525674.8200000003</v>
      </c>
    </row>
    <row r="21" spans="1:6" ht="23.25" x14ac:dyDescent="0.35">
      <c r="A21" s="48">
        <v>12</v>
      </c>
      <c r="B21" s="53" t="s">
        <v>1394</v>
      </c>
      <c r="C21" s="54">
        <v>970.5</v>
      </c>
      <c r="D21" s="52">
        <v>38</v>
      </c>
      <c r="E21" s="52">
        <v>1</v>
      </c>
      <c r="F21" s="55">
        <v>3834600</v>
      </c>
    </row>
    <row r="22" spans="1:6" ht="23.25" x14ac:dyDescent="0.35">
      <c r="A22" s="48">
        <v>13</v>
      </c>
      <c r="B22" s="53" t="s">
        <v>962</v>
      </c>
      <c r="C22" s="54">
        <v>465</v>
      </c>
      <c r="D22" s="52">
        <v>26</v>
      </c>
      <c r="E22" s="52">
        <v>1</v>
      </c>
      <c r="F22" s="55">
        <v>1692000</v>
      </c>
    </row>
    <row r="23" spans="1:6" ht="23.25" x14ac:dyDescent="0.35">
      <c r="A23" s="48">
        <v>14</v>
      </c>
      <c r="B23" s="53" t="s">
        <v>990</v>
      </c>
      <c r="C23" s="54">
        <v>943.2</v>
      </c>
      <c r="D23" s="52">
        <v>31</v>
      </c>
      <c r="E23" s="52">
        <v>1</v>
      </c>
      <c r="F23" s="55">
        <v>3214510.5</v>
      </c>
    </row>
    <row r="24" spans="1:6" ht="23.25" x14ac:dyDescent="0.35">
      <c r="A24" s="48">
        <v>15</v>
      </c>
      <c r="B24" s="53" t="s">
        <v>970</v>
      </c>
      <c r="C24" s="54">
        <v>2249.1999999999998</v>
      </c>
      <c r="D24" s="52">
        <v>104</v>
      </c>
      <c r="E24" s="52">
        <v>3</v>
      </c>
      <c r="F24" s="55">
        <v>6200280.5599999996</v>
      </c>
    </row>
    <row r="25" spans="1:6" ht="23.25" x14ac:dyDescent="0.35">
      <c r="A25" s="48">
        <v>16</v>
      </c>
      <c r="B25" s="53" t="s">
        <v>969</v>
      </c>
      <c r="C25" s="54">
        <v>940.4</v>
      </c>
      <c r="D25" s="52">
        <v>26</v>
      </c>
      <c r="E25" s="52">
        <v>1</v>
      </c>
      <c r="F25" s="55">
        <v>2164797.61</v>
      </c>
    </row>
    <row r="26" spans="1:6" ht="23.25" x14ac:dyDescent="0.35">
      <c r="A26" s="48">
        <v>17</v>
      </c>
      <c r="B26" s="53" t="s">
        <v>943</v>
      </c>
      <c r="C26" s="54">
        <v>1743.7</v>
      </c>
      <c r="D26" s="52">
        <v>65</v>
      </c>
      <c r="E26" s="52">
        <v>1</v>
      </c>
      <c r="F26" s="55">
        <v>2144509.73</v>
      </c>
    </row>
    <row r="27" spans="1:6" ht="23.25" x14ac:dyDescent="0.35">
      <c r="A27" s="48">
        <v>18</v>
      </c>
      <c r="B27" s="53" t="s">
        <v>938</v>
      </c>
      <c r="C27" s="54">
        <v>1105.0999999999999</v>
      </c>
      <c r="D27" s="52">
        <v>44</v>
      </c>
      <c r="E27" s="52">
        <v>1</v>
      </c>
      <c r="F27" s="55">
        <v>1590688.46</v>
      </c>
    </row>
    <row r="28" spans="1:6" ht="72" customHeight="1" x14ac:dyDescent="0.25">
      <c r="A28" s="277" t="s">
        <v>1436</v>
      </c>
      <c r="B28" s="278"/>
      <c r="C28" s="278"/>
      <c r="D28" s="278"/>
      <c r="E28" s="278"/>
      <c r="F28" s="279"/>
    </row>
    <row r="29" spans="1:6" ht="23.25" x14ac:dyDescent="0.35">
      <c r="A29" s="48"/>
      <c r="B29" s="50" t="s">
        <v>1093</v>
      </c>
      <c r="C29" s="51">
        <f>SUM(C30:C56)</f>
        <v>269513.32</v>
      </c>
      <c r="D29" s="88">
        <f>SUM(D30:D56)</f>
        <v>11346</v>
      </c>
      <c r="E29" s="104">
        <f>SUM(E30:E56)</f>
        <v>106</v>
      </c>
      <c r="F29" s="51">
        <v>43381799.889999993</v>
      </c>
    </row>
    <row r="30" spans="1:6" ht="23.25" x14ac:dyDescent="0.35">
      <c r="A30" s="48">
        <v>1</v>
      </c>
      <c r="B30" s="53" t="s">
        <v>922</v>
      </c>
      <c r="C30" s="54">
        <v>13682.619999999999</v>
      </c>
      <c r="D30" s="88">
        <v>744</v>
      </c>
      <c r="E30" s="104">
        <v>6</v>
      </c>
      <c r="F30" s="55">
        <v>4055618.86</v>
      </c>
    </row>
    <row r="31" spans="1:6" ht="23.25" x14ac:dyDescent="0.35">
      <c r="A31" s="48">
        <v>2</v>
      </c>
      <c r="B31" s="53" t="s">
        <v>926</v>
      </c>
      <c r="C31" s="54">
        <v>1994.9</v>
      </c>
      <c r="D31" s="88">
        <v>91</v>
      </c>
      <c r="E31" s="104">
        <v>2</v>
      </c>
      <c r="F31" s="55">
        <v>36746.29</v>
      </c>
    </row>
    <row r="32" spans="1:6" ht="23.25" x14ac:dyDescent="0.35">
      <c r="A32" s="48">
        <v>3</v>
      </c>
      <c r="B32" s="53" t="s">
        <v>1391</v>
      </c>
      <c r="C32" s="54">
        <v>25751.239999999998</v>
      </c>
      <c r="D32" s="88">
        <v>1014</v>
      </c>
      <c r="E32" s="104">
        <v>16</v>
      </c>
      <c r="F32" s="55">
        <v>1862310.1700000002</v>
      </c>
    </row>
    <row r="33" spans="1:6" ht="23.25" x14ac:dyDescent="0.35">
      <c r="A33" s="48">
        <v>4</v>
      </c>
      <c r="B33" s="53" t="s">
        <v>931</v>
      </c>
      <c r="C33" s="54">
        <v>13339.4</v>
      </c>
      <c r="D33" s="88">
        <v>416</v>
      </c>
      <c r="E33" s="104">
        <v>6</v>
      </c>
      <c r="F33" s="55">
        <v>7701832.5299999993</v>
      </c>
    </row>
    <row r="34" spans="1:6" ht="23.25" x14ac:dyDescent="0.35">
      <c r="A34" s="48">
        <v>5</v>
      </c>
      <c r="B34" s="53" t="s">
        <v>930</v>
      </c>
      <c r="C34" s="54">
        <v>3874.7000000000003</v>
      </c>
      <c r="D34" s="88">
        <v>141</v>
      </c>
      <c r="E34" s="104">
        <v>4</v>
      </c>
      <c r="F34" s="55">
        <v>202477.66</v>
      </c>
    </row>
    <row r="35" spans="1:6" ht="23.25" x14ac:dyDescent="0.35">
      <c r="A35" s="48">
        <v>6</v>
      </c>
      <c r="B35" s="53" t="s">
        <v>975</v>
      </c>
      <c r="C35" s="54">
        <v>57759.219999999994</v>
      </c>
      <c r="D35" s="88">
        <v>1952</v>
      </c>
      <c r="E35" s="104">
        <v>26</v>
      </c>
      <c r="F35" s="55">
        <v>10774561.139999999</v>
      </c>
    </row>
    <row r="36" spans="1:6" ht="23.25" x14ac:dyDescent="0.35">
      <c r="A36" s="48">
        <v>7</v>
      </c>
      <c r="B36" s="53" t="s">
        <v>1619</v>
      </c>
      <c r="C36" s="54">
        <v>42587.08</v>
      </c>
      <c r="D36" s="88">
        <v>2005</v>
      </c>
      <c r="E36" s="104">
        <v>13</v>
      </c>
      <c r="F36" s="55">
        <v>6084746.6499999994</v>
      </c>
    </row>
    <row r="37" spans="1:6" ht="23.25" x14ac:dyDescent="0.35">
      <c r="A37" s="48">
        <v>8</v>
      </c>
      <c r="B37" s="53" t="s">
        <v>1620</v>
      </c>
      <c r="C37" s="54">
        <v>39280</v>
      </c>
      <c r="D37" s="88">
        <v>1995</v>
      </c>
      <c r="E37" s="104">
        <v>5</v>
      </c>
      <c r="F37" s="55">
        <v>1568340.86</v>
      </c>
    </row>
    <row r="38" spans="1:6" ht="23.25" x14ac:dyDescent="0.35">
      <c r="A38" s="48">
        <v>9</v>
      </c>
      <c r="B38" s="53" t="s">
        <v>929</v>
      </c>
      <c r="C38" s="54">
        <v>6959.2</v>
      </c>
      <c r="D38" s="88">
        <v>259</v>
      </c>
      <c r="E38" s="104">
        <v>2</v>
      </c>
      <c r="F38" s="55">
        <v>3247611.26</v>
      </c>
    </row>
    <row r="39" spans="1:6" ht="23.25" x14ac:dyDescent="0.35">
      <c r="A39" s="48">
        <v>10</v>
      </c>
      <c r="B39" s="53" t="s">
        <v>1621</v>
      </c>
      <c r="C39" s="54">
        <v>978.6</v>
      </c>
      <c r="D39" s="88">
        <v>30</v>
      </c>
      <c r="E39" s="104">
        <v>1</v>
      </c>
      <c r="F39" s="55">
        <v>13131.869999999999</v>
      </c>
    </row>
    <row r="40" spans="1:6" ht="23.25" x14ac:dyDescent="0.35">
      <c r="A40" s="48">
        <v>11</v>
      </c>
      <c r="B40" s="53" t="s">
        <v>991</v>
      </c>
      <c r="C40" s="54">
        <v>3121</v>
      </c>
      <c r="D40" s="88">
        <v>171</v>
      </c>
      <c r="E40" s="104">
        <v>1</v>
      </c>
      <c r="F40" s="55">
        <v>778244.79</v>
      </c>
    </row>
    <row r="41" spans="1:6" ht="23.25" x14ac:dyDescent="0.35">
      <c r="A41" s="48">
        <v>12</v>
      </c>
      <c r="B41" s="53" t="s">
        <v>957</v>
      </c>
      <c r="C41" s="54">
        <v>6289.82</v>
      </c>
      <c r="D41" s="88">
        <v>266</v>
      </c>
      <c r="E41" s="104">
        <v>4</v>
      </c>
      <c r="F41" s="55">
        <v>1212193.2</v>
      </c>
    </row>
    <row r="42" spans="1:6" ht="23.25" x14ac:dyDescent="0.35">
      <c r="A42" s="48">
        <v>13</v>
      </c>
      <c r="B42" s="53" t="s">
        <v>938</v>
      </c>
      <c r="C42" s="54">
        <v>5085.1000000000004</v>
      </c>
      <c r="D42" s="88">
        <v>199</v>
      </c>
      <c r="E42" s="104">
        <v>1</v>
      </c>
      <c r="F42" s="55">
        <v>425208.96</v>
      </c>
    </row>
    <row r="43" spans="1:6" ht="23.25" x14ac:dyDescent="0.35">
      <c r="A43" s="48">
        <v>14</v>
      </c>
      <c r="B43" s="53" t="s">
        <v>941</v>
      </c>
      <c r="C43" s="54">
        <v>3387.86</v>
      </c>
      <c r="D43" s="88">
        <v>59</v>
      </c>
      <c r="E43" s="104">
        <v>1</v>
      </c>
      <c r="F43" s="55">
        <v>354821.67</v>
      </c>
    </row>
    <row r="44" spans="1:6" ht="23.25" x14ac:dyDescent="0.35">
      <c r="A44" s="48">
        <v>15</v>
      </c>
      <c r="B44" s="53" t="s">
        <v>953</v>
      </c>
      <c r="C44" s="54">
        <v>15972.619999999999</v>
      </c>
      <c r="D44" s="88">
        <v>615</v>
      </c>
      <c r="E44" s="104">
        <v>2</v>
      </c>
      <c r="F44" s="55">
        <v>1988549.43</v>
      </c>
    </row>
    <row r="45" spans="1:6" ht="23.25" x14ac:dyDescent="0.35">
      <c r="A45" s="48">
        <v>16</v>
      </c>
      <c r="B45" s="53" t="s">
        <v>956</v>
      </c>
      <c r="C45" s="54">
        <v>2614.9</v>
      </c>
      <c r="D45" s="88">
        <v>148</v>
      </c>
      <c r="E45" s="104">
        <v>2</v>
      </c>
      <c r="F45" s="55">
        <v>582142.44999999995</v>
      </c>
    </row>
    <row r="46" spans="1:6" ht="23.25" x14ac:dyDescent="0.35">
      <c r="A46" s="48">
        <v>17</v>
      </c>
      <c r="B46" s="53" t="s">
        <v>990</v>
      </c>
      <c r="C46" s="54">
        <v>677.1</v>
      </c>
      <c r="D46" s="88">
        <v>37</v>
      </c>
      <c r="E46" s="104">
        <v>1</v>
      </c>
      <c r="F46" s="55">
        <v>39585</v>
      </c>
    </row>
    <row r="47" spans="1:6" ht="23.25" x14ac:dyDescent="0.35">
      <c r="A47" s="48">
        <v>18</v>
      </c>
      <c r="B47" s="53" t="s">
        <v>933</v>
      </c>
      <c r="C47" s="54">
        <v>805.6</v>
      </c>
      <c r="D47" s="88">
        <v>44</v>
      </c>
      <c r="E47" s="104">
        <v>1</v>
      </c>
      <c r="F47" s="55">
        <v>275468.56</v>
      </c>
    </row>
    <row r="48" spans="1:6" ht="23.25" x14ac:dyDescent="0.35">
      <c r="A48" s="48">
        <v>19</v>
      </c>
      <c r="B48" s="53" t="s">
        <v>988</v>
      </c>
      <c r="C48" s="54">
        <v>12931.86</v>
      </c>
      <c r="D48" s="88">
        <v>621</v>
      </c>
      <c r="E48" s="104">
        <v>3</v>
      </c>
      <c r="F48" s="55">
        <v>274179.65000000002</v>
      </c>
    </row>
    <row r="49" spans="1:6" ht="23.25" x14ac:dyDescent="0.35">
      <c r="A49" s="48">
        <v>20</v>
      </c>
      <c r="B49" s="53" t="s">
        <v>1396</v>
      </c>
      <c r="C49" s="54">
        <v>418.1</v>
      </c>
      <c r="D49" s="88">
        <v>12</v>
      </c>
      <c r="E49" s="104">
        <v>1</v>
      </c>
      <c r="F49" s="55">
        <v>273035</v>
      </c>
    </row>
    <row r="50" spans="1:6" ht="23.25" x14ac:dyDescent="0.35">
      <c r="A50" s="48">
        <v>21</v>
      </c>
      <c r="B50" s="53" t="s">
        <v>997</v>
      </c>
      <c r="C50" s="54">
        <v>344.6</v>
      </c>
      <c r="D50" s="88">
        <v>15</v>
      </c>
      <c r="E50" s="104">
        <v>1</v>
      </c>
      <c r="F50" s="55">
        <v>237510</v>
      </c>
    </row>
    <row r="51" spans="1:6" ht="23.25" x14ac:dyDescent="0.35">
      <c r="A51" s="48">
        <v>22</v>
      </c>
      <c r="B51" s="53" t="s">
        <v>945</v>
      </c>
      <c r="C51" s="54">
        <v>3508.9</v>
      </c>
      <c r="D51" s="88">
        <v>145</v>
      </c>
      <c r="E51" s="104">
        <v>1</v>
      </c>
      <c r="F51" s="55">
        <v>1114586.8</v>
      </c>
    </row>
    <row r="52" spans="1:6" ht="23.25" x14ac:dyDescent="0.35">
      <c r="A52" s="48">
        <v>23</v>
      </c>
      <c r="B52" s="53" t="s">
        <v>952</v>
      </c>
      <c r="C52" s="54">
        <v>719.4</v>
      </c>
      <c r="D52" s="88">
        <v>30</v>
      </c>
      <c r="E52" s="104">
        <v>1</v>
      </c>
      <c r="F52" s="55">
        <v>40586.949999999997</v>
      </c>
    </row>
    <row r="53" spans="1:6" ht="23.25" x14ac:dyDescent="0.35">
      <c r="A53" s="48">
        <v>24</v>
      </c>
      <c r="B53" s="53" t="s">
        <v>968</v>
      </c>
      <c r="C53" s="54">
        <v>930</v>
      </c>
      <c r="D53" s="88">
        <v>45</v>
      </c>
      <c r="E53" s="104">
        <v>1</v>
      </c>
      <c r="F53" s="55">
        <v>39622.869999999995</v>
      </c>
    </row>
    <row r="54" spans="1:6" ht="23.25" x14ac:dyDescent="0.35">
      <c r="A54" s="48">
        <v>25</v>
      </c>
      <c r="B54" s="53" t="s">
        <v>943</v>
      </c>
      <c r="C54" s="54">
        <v>3791.9</v>
      </c>
      <c r="D54" s="88">
        <v>155</v>
      </c>
      <c r="E54" s="104">
        <v>1</v>
      </c>
      <c r="F54" s="55">
        <v>8028.65</v>
      </c>
    </row>
    <row r="55" spans="1:6" ht="23.25" x14ac:dyDescent="0.35">
      <c r="A55" s="48">
        <v>26</v>
      </c>
      <c r="B55" s="53" t="s">
        <v>947</v>
      </c>
      <c r="C55" s="54">
        <v>1000</v>
      </c>
      <c r="D55" s="88">
        <v>54</v>
      </c>
      <c r="E55" s="104">
        <v>2</v>
      </c>
      <c r="F55" s="55">
        <v>180508.62</v>
      </c>
    </row>
    <row r="56" spans="1:6" ht="23.25" x14ac:dyDescent="0.35">
      <c r="A56" s="48">
        <v>27</v>
      </c>
      <c r="B56" s="53" t="s">
        <v>1392</v>
      </c>
      <c r="C56" s="54">
        <v>1707.6</v>
      </c>
      <c r="D56" s="88">
        <v>83</v>
      </c>
      <c r="E56" s="104">
        <v>1</v>
      </c>
      <c r="F56" s="55">
        <v>10150</v>
      </c>
    </row>
  </sheetData>
  <mergeCells count="11">
    <mergeCell ref="A28:F28"/>
    <mergeCell ref="D1:F1"/>
    <mergeCell ref="F4:F5"/>
    <mergeCell ref="A8:F8"/>
    <mergeCell ref="C2:F2"/>
    <mergeCell ref="A3:F3"/>
    <mergeCell ref="A4:A6"/>
    <mergeCell ref="B4:B6"/>
    <mergeCell ref="C4:C5"/>
    <mergeCell ref="D4:D5"/>
    <mergeCell ref="E4:E5"/>
  </mergeCells>
  <pageMargins left="0.39" right="0.32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Реестр</vt:lpstr>
      <vt:lpstr>Перечень</vt:lpstr>
      <vt:lpstr>Рес обесп</vt:lpstr>
      <vt:lpstr>Плановые показатели</vt:lpstr>
      <vt:lpstr>Реестр_бонусы</vt:lpstr>
      <vt:lpstr>Перечень_бонусы</vt:lpstr>
      <vt:lpstr>Планируемые показат_бонусы</vt:lpstr>
      <vt:lpstr>Перечень!Область_печати</vt:lpstr>
      <vt:lpstr>Реестр!Область_печати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Татьяна Николаевна Базжина</cp:lastModifiedBy>
  <cp:lastPrinted>2020-06-01T11:25:24Z</cp:lastPrinted>
  <dcterms:created xsi:type="dcterms:W3CDTF">2019-03-21T15:19:46Z</dcterms:created>
  <dcterms:modified xsi:type="dcterms:W3CDTF">2020-06-01T11:31:19Z</dcterms:modified>
</cp:coreProperties>
</file>